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Override PartName="/xl/embeddings/oleObject3.bin" ContentType="application/vnd.openxmlformats-officedocument.oleObject"/>
  <Override PartName="/xl/embeddings/oleObject4.bin" ContentType="application/vnd.openxmlformats-officedocument.oleObject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14940" windowHeight="6060" activeTab="5"/>
  </bookViews>
  <sheets>
    <sheet name="Memoria de Calculo" sheetId="13" r:id="rId1"/>
    <sheet name="Memoria" sheetId="10" state="hidden" r:id="rId2"/>
    <sheet name="Relação de Ruas a Pavimentar" sheetId="9" state="hidden" r:id="rId3"/>
    <sheet name="Memoria  CBUQ" sheetId="8" state="hidden" r:id="rId4"/>
    <sheet name="Planilha Orcamentaria" sheetId="5" state="hidden" r:id="rId5"/>
    <sheet name="Planilha Orçamentaria " sheetId="6" r:id="rId6"/>
    <sheet name="Cronograma" sheetId="7" r:id="rId7"/>
    <sheet name="BDI" sheetId="11" r:id="rId8"/>
    <sheet name="Orçamento" sheetId="12" r:id="rId9"/>
  </sheets>
  <externalReferences>
    <externalReference r:id="rId10"/>
  </externalReferences>
  <definedNames>
    <definedName name="_xlnm.Print_Area" localSheetId="6">Cronograma!$A$1:$K$36</definedName>
    <definedName name="_xlnm.Print_Area" localSheetId="1">Memoria!$A$1:$O$43</definedName>
    <definedName name="_xlnm.Print_Area" localSheetId="3">'Memoria  CBUQ'!$A$1:$G$31</definedName>
    <definedName name="_xlnm.Print_Area" localSheetId="0">'Memoria de Calculo'!$A$1:$E$104</definedName>
    <definedName name="_xlnm.Print_Area" localSheetId="4">'Planilha Orcamentaria'!$A$1:$H$54</definedName>
    <definedName name="_xlnm.Print_Area" localSheetId="5">'Planilha Orçamentaria '!$A$1:$H$43</definedName>
    <definedName name="_xlnm.Print_Area" localSheetId="2">'Relação de Ruas a Pavimentar'!$A$1:$J$34</definedName>
    <definedName name="_xlnm.Print_Titles" localSheetId="1">Memoria!$1:$11</definedName>
    <definedName name="_xlnm.Print_Titles" localSheetId="3">'Memoria  CBUQ'!$1:$11</definedName>
  </definedNames>
  <calcPr calcId="124519"/>
</workbook>
</file>

<file path=xl/calcChain.xml><?xml version="1.0" encoding="utf-8"?>
<calcChain xmlns="http://schemas.openxmlformats.org/spreadsheetml/2006/main">
  <c r="H30" i="6"/>
  <c r="H31"/>
  <c r="H29"/>
  <c r="H19"/>
  <c r="H20"/>
  <c r="H21"/>
  <c r="H22"/>
  <c r="H23"/>
  <c r="H24"/>
  <c r="H25"/>
  <c r="H26"/>
  <c r="H18"/>
  <c r="H15"/>
  <c r="H14"/>
  <c r="G14"/>
  <c r="G15"/>
  <c r="G18"/>
  <c r="G19"/>
  <c r="G20"/>
  <c r="G21"/>
  <c r="G22"/>
  <c r="G23"/>
  <c r="G24"/>
  <c r="G25"/>
  <c r="G26"/>
  <c r="G29"/>
  <c r="G30"/>
  <c r="G31"/>
  <c r="E8" i="12"/>
  <c r="E9"/>
  <c r="E10"/>
  <c r="M27" i="7"/>
  <c r="D78" i="13"/>
  <c r="D79"/>
  <c r="D80"/>
  <c r="D77"/>
  <c r="D76"/>
  <c r="K18" i="6"/>
  <c r="L10"/>
  <c r="M10"/>
  <c r="D87" i="13"/>
  <c r="D71"/>
  <c r="I7" i="11"/>
  <c r="E15" i="6"/>
  <c r="D85" i="13"/>
  <c r="D84"/>
  <c r="D83"/>
  <c r="D72"/>
  <c r="D70"/>
  <c r="D69"/>
  <c r="D68"/>
  <c r="D65"/>
  <c r="D64"/>
  <c r="D63"/>
  <c r="D62"/>
  <c r="D61"/>
  <c r="D58"/>
  <c r="D56"/>
  <c r="D55"/>
  <c r="D54"/>
  <c r="D51"/>
  <c r="D49"/>
  <c r="D48"/>
  <c r="D47"/>
  <c r="D44"/>
  <c r="D43"/>
  <c r="D42"/>
  <c r="D41"/>
  <c r="D40"/>
  <c r="D37"/>
  <c r="D35"/>
  <c r="D34"/>
  <c r="D33"/>
  <c r="D23"/>
  <c r="D21"/>
  <c r="D20"/>
  <c r="D19"/>
  <c r="D15"/>
  <c r="D12"/>
  <c r="D13"/>
  <c r="D14"/>
  <c r="D16"/>
  <c r="D26"/>
  <c r="D27"/>
  <c r="D36"/>
  <c r="D30"/>
  <c r="D29"/>
  <c r="D28"/>
  <c r="E31" i="6"/>
  <c r="J41" i="13"/>
  <c r="G39"/>
  <c r="B89"/>
  <c r="O16" i="9"/>
  <c r="N15"/>
  <c r="D18" i="10"/>
  <c r="E18" i="13" s="1"/>
  <c r="D19" i="10"/>
  <c r="E25" i="13" s="1"/>
  <c r="D20" i="10"/>
  <c r="E32" i="13" s="1"/>
  <c r="D21" i="10"/>
  <c r="D22"/>
  <c r="E39" i="13" s="1"/>
  <c r="D23" i="10"/>
  <c r="E46" i="13" s="1"/>
  <c r="D24" i="10"/>
  <c r="E53" i="13" s="1"/>
  <c r="D25" i="10"/>
  <c r="E60" i="13" s="1"/>
  <c r="D26" i="10"/>
  <c r="E67" i="13" s="1"/>
  <c r="D17" i="10"/>
  <c r="E11" i="13" s="1"/>
  <c r="E89"/>
  <c r="B26" i="10"/>
  <c r="B30"/>
  <c r="A82" i="13"/>
  <c r="A89"/>
  <c r="A75"/>
  <c r="A74"/>
  <c r="B82"/>
  <c r="B75"/>
  <c r="B74"/>
  <c r="A67"/>
  <c r="A18"/>
  <c r="A25"/>
  <c r="A32"/>
  <c r="A39"/>
  <c r="A46"/>
  <c r="A53"/>
  <c r="A60"/>
  <c r="A11"/>
  <c r="A10"/>
  <c r="B46"/>
  <c r="B53"/>
  <c r="B60"/>
  <c r="B11"/>
  <c r="B18"/>
  <c r="B25"/>
  <c r="B32"/>
  <c r="B39"/>
  <c r="B8"/>
  <c r="B9"/>
  <c r="A8"/>
  <c r="A9"/>
  <c r="A7"/>
  <c r="B10"/>
  <c r="B7"/>
  <c r="B29" i="10"/>
  <c r="B28"/>
  <c r="B18"/>
  <c r="B19"/>
  <c r="B20"/>
  <c r="B21"/>
  <c r="B22"/>
  <c r="B23"/>
  <c r="B24"/>
  <c r="B25"/>
  <c r="B17"/>
  <c r="C14" i="11"/>
  <c r="H10" i="6"/>
  <c r="I6" i="11"/>
  <c r="B7" i="10"/>
  <c r="B13"/>
  <c r="B16"/>
  <c r="B27"/>
  <c r="I7" i="7"/>
  <c r="I6"/>
  <c r="D7"/>
  <c r="A7"/>
  <c r="A6"/>
  <c r="E14" i="6"/>
  <c r="G36" i="10"/>
  <c r="D36"/>
  <c r="D34"/>
  <c r="D33"/>
  <c r="D32"/>
  <c r="D29"/>
  <c r="D28"/>
  <c r="D14"/>
  <c r="G13"/>
  <c r="D13"/>
  <c r="M18" i="9"/>
  <c r="I16"/>
  <c r="N16" s="1"/>
  <c r="G16"/>
  <c r="H16"/>
  <c r="F16"/>
  <c r="J16"/>
  <c r="G15"/>
  <c r="H15"/>
  <c r="J15" s="1"/>
  <c r="I14"/>
  <c r="N14" s="1"/>
  <c r="H14"/>
  <c r="G14"/>
  <c r="F14"/>
  <c r="J14"/>
  <c r="I13"/>
  <c r="N13" s="1"/>
  <c r="I25"/>
  <c r="I27" s="1"/>
  <c r="H13"/>
  <c r="G13"/>
  <c r="F13"/>
  <c r="J13" s="1"/>
  <c r="I12"/>
  <c r="N12" s="1"/>
  <c r="H12"/>
  <c r="H25" s="1"/>
  <c r="E23" i="8" s="1"/>
  <c r="G12" i="9"/>
  <c r="G25"/>
  <c r="F23" i="8" s="1"/>
  <c r="E28" i="10" s="1"/>
  <c r="F12" i="9"/>
  <c r="J12"/>
  <c r="J25" s="1"/>
  <c r="G22" i="10" s="1"/>
  <c r="G23" s="1"/>
  <c r="F21" i="8"/>
  <c r="F18"/>
  <c r="F17"/>
  <c r="F16"/>
  <c r="F15"/>
  <c r="F14"/>
  <c r="G12" i="5"/>
  <c r="H12"/>
  <c r="H41" s="1"/>
  <c r="G14"/>
  <c r="H14"/>
  <c r="G15"/>
  <c r="H15"/>
  <c r="G16"/>
  <c r="H16"/>
  <c r="G17"/>
  <c r="H17"/>
  <c r="G18"/>
  <c r="H18"/>
  <c r="G19"/>
  <c r="H19"/>
  <c r="G20"/>
  <c r="H20"/>
  <c r="G21"/>
  <c r="H21"/>
  <c r="G22"/>
  <c r="H22"/>
  <c r="G23"/>
  <c r="H23"/>
  <c r="G24"/>
  <c r="H24"/>
  <c r="G25"/>
  <c r="H25"/>
  <c r="G26"/>
  <c r="H26"/>
  <c r="G27"/>
  <c r="H27"/>
  <c r="G28"/>
  <c r="H28"/>
  <c r="G29"/>
  <c r="H29"/>
  <c r="G30"/>
  <c r="H30"/>
  <c r="G31"/>
  <c r="H31"/>
  <c r="G32"/>
  <c r="H32"/>
  <c r="G33"/>
  <c r="H33"/>
  <c r="G34"/>
  <c r="H34"/>
  <c r="G35"/>
  <c r="H35"/>
  <c r="G36"/>
  <c r="H36"/>
  <c r="G37"/>
  <c r="H37"/>
  <c r="G38"/>
  <c r="H38"/>
  <c r="G39"/>
  <c r="H39"/>
  <c r="G40"/>
  <c r="H40"/>
  <c r="G13"/>
  <c r="H13"/>
  <c r="G21" i="10"/>
  <c r="D75" i="13"/>
  <c r="D67"/>
  <c r="E26" i="6" s="1"/>
  <c r="D82" i="13"/>
  <c r="E30" i="6" s="1"/>
  <c r="D46" i="13"/>
  <c r="E23" i="6" s="1"/>
  <c r="D60" i="13"/>
  <c r="E25" i="6"/>
  <c r="D53" i="13"/>
  <c r="E24" i="6"/>
  <c r="D39" i="13"/>
  <c r="E22" i="6"/>
  <c r="D11" i="13"/>
  <c r="E18" i="6"/>
  <c r="D18" i="13"/>
  <c r="E19" i="6"/>
  <c r="D32" i="13"/>
  <c r="E21" i="6"/>
  <c r="D25" i="13"/>
  <c r="E20" i="6"/>
  <c r="J14"/>
  <c r="K14" s="1"/>
  <c r="G32"/>
  <c r="I26" i="7"/>
  <c r="J26"/>
  <c r="K26"/>
  <c r="E11" i="12"/>
  <c r="F18" i="6" s="1"/>
  <c r="G24" i="10" l="1"/>
  <c r="K23"/>
  <c r="O23" s="1"/>
  <c r="L23" i="9"/>
  <c r="G23" i="8"/>
  <c r="G18" i="10"/>
  <c r="G17" s="1"/>
  <c r="H13" i="6"/>
  <c r="G19" i="10" l="1"/>
  <c r="K17"/>
  <c r="G25"/>
  <c r="K24"/>
  <c r="H17" i="6"/>
  <c r="E12" i="7" s="1"/>
  <c r="H28" i="6"/>
  <c r="E14" i="7" s="1"/>
  <c r="E10"/>
  <c r="G20" i="10" l="1"/>
  <c r="K20" s="1"/>
  <c r="K19"/>
  <c r="K25"/>
  <c r="O25" s="1"/>
  <c r="G26"/>
  <c r="K26" s="1"/>
  <c r="O26" s="1"/>
  <c r="G12" i="7"/>
  <c r="F12"/>
  <c r="H12"/>
  <c r="H14"/>
  <c r="F14"/>
  <c r="G14"/>
  <c r="H33" i="6"/>
  <c r="G10" i="7"/>
  <c r="H10"/>
  <c r="F10"/>
  <c r="E26"/>
  <c r="I33" i="6" l="1"/>
  <c r="I16"/>
  <c r="I21"/>
  <c r="I25"/>
  <c r="I30"/>
  <c r="I15"/>
  <c r="I20"/>
  <c r="I24"/>
  <c r="I29"/>
  <c r="I19"/>
  <c r="I23"/>
  <c r="I27"/>
  <c r="I14"/>
  <c r="I18"/>
  <c r="I22"/>
  <c r="I26"/>
  <c r="I31"/>
  <c r="G26" i="7"/>
  <c r="G25" s="1"/>
  <c r="F26"/>
  <c r="F25" s="1"/>
  <c r="K25"/>
  <c r="E13"/>
  <c r="J25"/>
  <c r="H25"/>
  <c r="F6"/>
  <c r="I25"/>
  <c r="E11"/>
  <c r="E9"/>
  <c r="J18" i="6" l="1"/>
  <c r="E25" i="7"/>
</calcChain>
</file>

<file path=xl/sharedStrings.xml><?xml version="1.0" encoding="utf-8"?>
<sst xmlns="http://schemas.openxmlformats.org/spreadsheetml/2006/main" count="459" uniqueCount="279">
  <si>
    <t>ITEM</t>
  </si>
  <si>
    <t>DESCRIÇÃO</t>
  </si>
  <si>
    <t>QUANTIDADE</t>
  </si>
  <si>
    <t>UNIDADE</t>
  </si>
  <si>
    <t>PLANILHA ORÇAMENTÁRIA DE CUSTOS</t>
  </si>
  <si>
    <t>CÓDIGO</t>
  </si>
  <si>
    <t>DIRETA</t>
  </si>
  <si>
    <t>INDIRETA</t>
  </si>
  <si>
    <t>(    )</t>
  </si>
  <si>
    <t>LDI</t>
  </si>
  <si>
    <t xml:space="preserve">DATA: </t>
  </si>
  <si>
    <t>PREÇO TOTAL</t>
  </si>
  <si>
    <t>CREA</t>
  </si>
  <si>
    <t xml:space="preserve">FORMA DE EXECUÇÃO: </t>
  </si>
  <si>
    <t xml:space="preserve">PRAZO DE EXECUÇÃO: </t>
  </si>
  <si>
    <t xml:space="preserve">LOCAL: </t>
  </si>
  <si>
    <t>Carimbo e assinatura do engenheiro responsável técnico pela elaboração da planilha</t>
  </si>
  <si>
    <t>Carimbo e assinatura do prefeito</t>
  </si>
  <si>
    <t>PREÇO UNITÁRIO S/ LDI</t>
  </si>
  <si>
    <t>PREÇO UNITÁRIO C/ LDI</t>
  </si>
  <si>
    <t xml:space="preserve">REGIÃO/MÊS DE REFERÊNCIA: </t>
  </si>
  <si>
    <t xml:space="preserve">OBRA: </t>
  </si>
  <si>
    <t>M2</t>
  </si>
  <si>
    <t>1.1</t>
  </si>
  <si>
    <t>IIO-001</t>
  </si>
  <si>
    <t>INSTALAÇÕES INICIAIS DA OBRA</t>
  </si>
  <si>
    <t>1.2</t>
  </si>
  <si>
    <t>IIO-PLA-005</t>
  </si>
  <si>
    <t>UN</t>
  </si>
  <si>
    <t>OBR-001</t>
  </si>
  <si>
    <t>OBRAS VIÁRIAS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</si>
  <si>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</si>
  <si>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</si>
  <si>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</si>
  <si>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</si>
  <si>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</si>
  <si>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</si>
  <si>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</si>
  <si>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</si>
  <si>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</si>
  <si>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OBR-VIA-130</t>
  </si>
  <si>
    <t>REGULARIZAÇÃO DO SUBLEITO COM PROCTOR INTERMEDIÁRIO</t>
  </si>
  <si>
    <t>OBR-VIA-145</t>
  </si>
  <si>
    <t>M3</t>
  </si>
  <si>
    <t>M3XKM</t>
  </si>
  <si>
    <t>OBR-VIA-435</t>
  </si>
  <si>
    <t>TXKM</t>
  </si>
  <si>
    <t>OBR-VIA-165</t>
  </si>
  <si>
    <t>OBR-VIA-160</t>
  </si>
  <si>
    <t>OBR-VIA-180</t>
  </si>
  <si>
    <t>3.1</t>
  </si>
  <si>
    <t>M</t>
  </si>
  <si>
    <t>URB-001</t>
  </si>
  <si>
    <t xml:space="preserve">URBANIZAÇÃO E OBRAS COMPLEMENTARES                          </t>
  </si>
  <si>
    <t>TOTAL GERAL DA OBRA</t>
  </si>
  <si>
    <t xml:space="preserve">PREFEITURA: </t>
  </si>
  <si>
    <t xml:space="preserve">FOLHA Nº: </t>
  </si>
  <si>
    <t>TRANSPORTE DE MATERIAL DE QUALQUER NATUREZA DMT ACIMA DE 40 KM (DMT = 350 KM)</t>
  </si>
  <si>
    <t xml:space="preserve">EXECUÇÃO DE BASE DE SOLO ESTABILIZADO GRANULOMETRICAMENTE SEM MISTURA COM PROCTOR INTERMEDIÁRIO, INCLUINDO ESCAVAÇÃO, CARGA, DESCARGA, ESPALHAMENTO E COMPACTAÇÃO DO MATERIAL; EXCLUSIVE AQUISIÇÃO DO MATERIAL (E = 15 CM) </t>
  </si>
  <si>
    <t>MODELO</t>
  </si>
  <si>
    <t>(  x   )</t>
  </si>
  <si>
    <t>CRONOGRAMA FÍSICO-FINANCEIRO</t>
  </si>
  <si>
    <t xml:space="preserve">VALOR DO CONVÊNIO: </t>
  </si>
  <si>
    <t>ETAPAS/DESCRIÇÃO</t>
  </si>
  <si>
    <t>FÍSICO/ FINANCEIRO</t>
  </si>
  <si>
    <t>TOTAL  ETAPAS</t>
  </si>
  <si>
    <t>MÊS 1</t>
  </si>
  <si>
    <t>MÊS 2</t>
  </si>
  <si>
    <t>MÊS 3</t>
  </si>
  <si>
    <t>Físico %</t>
  </si>
  <si>
    <t>Financeiro</t>
  </si>
  <si>
    <t>TOTAL</t>
  </si>
  <si>
    <t>Observações:</t>
  </si>
  <si>
    <t>Carimbo e assinatura do engenheiro responsável técnico pela elaboração do cronograma</t>
  </si>
  <si>
    <t>PREFEITURA MUNICIPAL DE PAINS</t>
  </si>
  <si>
    <t>ESTADO DE MINAS GERAIS</t>
  </si>
  <si>
    <t>Empreendimento ( Nome/Apelido): Pavimentação de vias públicas urbanas no Bairro Alvorada.</t>
  </si>
  <si>
    <t>MEMORIA DE CÁLCULO DO MEIO FIO, SARJETA, ÁREA PAVIMENTADA</t>
  </si>
  <si>
    <t>NOME DAS RUAS</t>
  </si>
  <si>
    <t xml:space="preserve"> SARJETA  (30 e 50X05 cm)           (m)</t>
  </si>
  <si>
    <t>MEMORIA MEIO FIO</t>
  </si>
  <si>
    <t>ÁREA A SER PAVIMENTADA</t>
  </si>
  <si>
    <t>.01</t>
  </si>
  <si>
    <t>.02</t>
  </si>
  <si>
    <t>RUA ARLINDO DE PAIVA DE OLIVEIRA (TRECHO 1)</t>
  </si>
  <si>
    <t>(16,73+17,03)</t>
  </si>
  <si>
    <t>((16,73+17,03)/2)*6,28</t>
  </si>
  <si>
    <t>.03</t>
  </si>
  <si>
    <t>RUA ARLINDO DE PAIVA DE OLIVEIRA (TRECHO 2)</t>
  </si>
  <si>
    <t>(115,90+118,32)</t>
  </si>
  <si>
    <t>((115,90+118,32)/2)*6,27</t>
  </si>
  <si>
    <t>.04</t>
  </si>
  <si>
    <t>RUA ARLINDO DE PAIVA DE OLIVEIRA (TRECHO 3)</t>
  </si>
  <si>
    <t>(26,55+26,65)</t>
  </si>
  <si>
    <t>((26,55+26,65)/2)*6,45</t>
  </si>
  <si>
    <t>.05</t>
  </si>
  <si>
    <t>RUA ARLINDO DE PAIVA DE OLIVEIRA (ROTATORIA)</t>
  </si>
  <si>
    <t>12,56+25,21+14,53</t>
  </si>
  <si>
    <t>ARÉA OBTIDA ATRAVÉS DO AUTOCAD</t>
  </si>
  <si>
    <t>.06</t>
  </si>
  <si>
    <t>RUA JOÃO COELHO</t>
  </si>
  <si>
    <t>42,09+43,51</t>
  </si>
  <si>
    <t>((42,09+43,51)/2)*6</t>
  </si>
  <si>
    <t>TOTAIS GERAIS</t>
  </si>
  <si>
    <t>RELAÇÃO DE RUAS A PAVIMENTAR</t>
  </si>
  <si>
    <t>COMPRIMENTO 01 (m)</t>
  </si>
  <si>
    <t>COMPRIMENTO 02 (m)</t>
  </si>
  <si>
    <t>LARGURA SUB-LEITO/ SUB-BASE / BASE / IMPRIMAÇÃO             (m)</t>
  </si>
  <si>
    <t>LARGURA PINTURA DE LIGAÇÃO / CAPA ASFÁLTICA                  (m)</t>
  </si>
  <si>
    <t>MEIO FIO (M)</t>
  </si>
  <si>
    <t xml:space="preserve"> SARJETA  (30X05 cm)           (m)</t>
  </si>
  <si>
    <t>ÁREA SUB-LEITO / SUB-BASE / BASE / IMPRIMAÇÃO (m²)</t>
  </si>
  <si>
    <t>ÁREA DE PINTURA DE LIGAÇÃO / CAPA ASFÁLTICA (m²)</t>
  </si>
  <si>
    <t>MEMÓRIA DE CÁLCULO DOS QUANTITATIVOS</t>
  </si>
  <si>
    <t>DISCRIMINAÇÃO DOS SERVIÇOS</t>
  </si>
  <si>
    <t>COMPR. (m)</t>
  </si>
  <si>
    <t>LARG. (m)</t>
  </si>
  <si>
    <t>ÁREA (m²)</t>
  </si>
  <si>
    <t>ESP. (m)</t>
  </si>
  <si>
    <t>EMPOLAMENTO</t>
  </si>
  <si>
    <t>VOLUME (m³)</t>
  </si>
  <si>
    <t xml:space="preserve">PESO ESPCIF. </t>
  </si>
  <si>
    <t>PESO (ton)</t>
  </si>
  <si>
    <t>DMT (km)</t>
  </si>
  <si>
    <t>MOM. TRANSP.</t>
  </si>
  <si>
    <t>1.0</t>
  </si>
  <si>
    <t xml:space="preserve">INSTALAÇÕES INICIAIS DA OBRA
</t>
  </si>
  <si>
    <t>2.0</t>
  </si>
  <si>
    <t>LOCAÇÃO TOPOGRÁFICA ACIMA DE 50 PONTOS</t>
  </si>
  <si>
    <t>3.0</t>
  </si>
  <si>
    <t>AQUISIÇÃO DE CASCALHO PARA BASE - MUNHA DE BRITA</t>
  </si>
  <si>
    <t>3.2</t>
  </si>
  <si>
    <t>6.4</t>
  </si>
  <si>
    <t>SINALIZAÇÃO</t>
  </si>
  <si>
    <t>6.5</t>
  </si>
  <si>
    <t>SINALIZAÇÃO HORIZONTAL COM TINTA RETRORREFLETIVA A BASE DE RESINA ACRÍLICA COM MICROESFERAS DE VIDRO</t>
  </si>
  <si>
    <t>6.6</t>
  </si>
  <si>
    <t>PLACA DE SINALIZAÇÃO VERTICAL, EM CHAPA DE AÇO, COM PINTURA REFLETIVA - FORNECIMENTO E COLOCAÇÃO</t>
  </si>
  <si>
    <t>6.7</t>
  </si>
  <si>
    <t>FORNECIMENO CONJ. POSTE DE FIXACAO Ø 2" 1/2, ESPESSURA  2,25 mm ,3,00 metros - AÇO MSG16 COM SISTEMA ANTI-GIRO- TAMPAO, FOSFATIZAÇÃO, PINTURA PRETO FOSCO C/ 02 PLACAS IDENT. RUAS MSG 16 PINTURA  ELETROSTATICA  ,  ADESIVO 02 LADOS. SUPORTE FIXAÇÃO , KIT INSTALAÇÃO</t>
  </si>
  <si>
    <t>6.0</t>
  </si>
  <si>
    <t>LIMPEZA GERAL</t>
  </si>
  <si>
    <t>6.1</t>
  </si>
  <si>
    <t>LIMPEZA GERAL DE OBRA</t>
  </si>
  <si>
    <t xml:space="preserve">PREFEITURA: Municipal de Pains </t>
  </si>
  <si>
    <t>OBRA: Pavimentação asfáltica em C.B.U.Q</t>
  </si>
  <si>
    <t>PRAZO DE EXECUÇÃO:  3 Meses</t>
  </si>
  <si>
    <t>(  x  )</t>
  </si>
  <si>
    <t>89211/D</t>
  </si>
  <si>
    <t>ORÇAMENTO</t>
  </si>
  <si>
    <t>OBR-VIA-325</t>
  </si>
  <si>
    <t>TRANSPORTE DE MATERIAL DE JAZIDA PARA CONSERVAÇÃO. DISTÂNCIA  MÉDIA DE TRANSPORTE DE 15,10 A 20,00 KM</t>
  </si>
  <si>
    <t>DRE-SAR-025</t>
  </si>
  <si>
    <t>MEIO-FIO COM SARJETA, EXECUTADO C/EXTRUSORA (SARJETA 30X8CM MEIO-FIO 15X10CM X H=23CM), INCLUI ESCAVAÇÃO E ACERTO FAIXA 0,45M</t>
  </si>
  <si>
    <t>OBR-VIA-255</t>
  </si>
  <si>
    <t>LINHAS D ERESINA ACRILICA0, 6MM DE ESPESSURA E LARGURA = 0,30M (EXECUÇÃO, INCLUSIVEPRÉ - MARCAÇÃO, FORNECIMENTO E TRANSPORTE DE TODOS OS MATERIAIS)</t>
  </si>
  <si>
    <t>CREA-MG</t>
  </si>
  <si>
    <t>FOLHA Nº: 01/01</t>
  </si>
  <si>
    <t>LOCAL: Rua Arlindo Paiva de Oliveira e Rua João Coelho, Bairro Alvorada</t>
  </si>
  <si>
    <t>Municipio:  Rua Arlindo Paiva de Oliveira e Rua João Coelho, Bairro Alvorada - Pains</t>
  </si>
  <si>
    <t>Municipio: Rua Arlindo Paiva de Oliveira e Rua João Coelho, Bairro Alvorada - Pains</t>
  </si>
  <si>
    <t>IMPRIMAÇÃO (EXECUÇÃO E FORNECIMENTO DO MATERIAL BETUMINOSO, EXCLUSIVE TRANSPORTE DO MATERIAL BETUMINOSO)</t>
  </si>
  <si>
    <t>CONCRETO BETUMINOSO USINADO AQUENTE- CBUQ (EXECUÇÃO, INCLUINDO USINAGEM, APLICAÇÃO, ESPALHAMENTO E COMPACTAÇÃO, FORNECIMENTO DOS AGREGADOS E MATERIAL BETUMINOSO, EXCLUI TRANSPORTE DOS AGREGADOS E DO MATERIAL BETUMINOSO ATÉ USINA E DA MASSA PRONTA ATÉ A PISTA)</t>
  </si>
  <si>
    <t>PINTURA DE LIGAÇÃO (EXECUÇÃO E FORNECIMENTO DO MATERIAL BETUMINOSO, EXCLUSIVE TRANSPORTE DO MATERIAL BETUMINOSO)</t>
  </si>
  <si>
    <t>Composição BDI</t>
  </si>
  <si>
    <t>BDI</t>
  </si>
  <si>
    <t>SEM Desoneração: Digite S(sim) ou N(não)</t>
  </si>
  <si>
    <t>N</t>
  </si>
  <si>
    <t>COM Desoneração: Digite S(sim) ou N(não)</t>
  </si>
  <si>
    <t>S</t>
  </si>
  <si>
    <t>Garantia (G):</t>
  </si>
  <si>
    <t xml:space="preserve"> 0,32% a 0,74%</t>
  </si>
  <si>
    <t>Composição do BDI, intervalos admissíveis e Fórmula de cálculo nos termos do Acórdão 2622/2013 do TCU.</t>
  </si>
  <si>
    <t>Risco (R) :</t>
  </si>
  <si>
    <t>0,50% a 0,97%</t>
  </si>
  <si>
    <t>Desp. financeiras (DF):</t>
  </si>
  <si>
    <t>1,02% a 1,21%</t>
  </si>
  <si>
    <t>Adm. Central (AC):</t>
  </si>
  <si>
    <t>3,80% a 4,67%</t>
  </si>
  <si>
    <t>Lucro (L):</t>
  </si>
  <si>
    <t>6,64% a 8,69%</t>
  </si>
  <si>
    <t>CPRB:</t>
  </si>
  <si>
    <t>Tributos (T):</t>
  </si>
  <si>
    <t>Nome legível do responsável técnico pela elaboração da planilha Dênes Andre da Silveira  CREA - MG 89211/D</t>
  </si>
  <si>
    <t xml:space="preserve">  </t>
  </si>
  <si>
    <t>TON</t>
  </si>
  <si>
    <t>VALOR/TON</t>
  </si>
  <si>
    <t>VALOR/M3</t>
  </si>
  <si>
    <t>BRISOLO</t>
  </si>
  <si>
    <t>MEDIA DE VALORES</t>
  </si>
  <si>
    <t xml:space="preserve">Assinatura do Responsável Técnico: ______________________________________________ </t>
  </si>
  <si>
    <t>,</t>
  </si>
  <si>
    <t>URB-RAM-005</t>
  </si>
  <si>
    <t>3.3</t>
  </si>
  <si>
    <t>RAMPA PARA ACESSO DE DEFICIENTE, EM CONCRETO SIMPLES FCK = 25 MPA, DESEMPENADA, COM PINTURA INDICATIVA, 02 DEMÃOS</t>
  </si>
  <si>
    <t>UND</t>
  </si>
  <si>
    <t>MEMÓRIA DE CÁLCULO DE QUANTITATIVOS</t>
  </si>
  <si>
    <t>FÓRMULAS</t>
  </si>
  <si>
    <t>2.10</t>
  </si>
  <si>
    <t>RUA ARLINDO PAIVA DE OLIVEIRA (TRECHO 1)</t>
  </si>
  <si>
    <t>RUA ARLINDO PAIVA DE OLIVEIRA (TRECHO 2)</t>
  </si>
  <si>
    <t>RUA ARLINDO  PAIVA DE OLIVEIRA (TRECHO 3)</t>
  </si>
  <si>
    <t>RUA ARLINDO PAIVA DE OLIVEIRA (ROTATORIA)</t>
  </si>
  <si>
    <t>und</t>
  </si>
  <si>
    <t>RO-14038</t>
  </si>
  <si>
    <t xml:space="preserve">TRANSPORTE DE CONCRETO BETUMINOSO USINADO A QUENTE. DISTÂNCIA MÉDIA DE TRANSPORTE &gt; 50,00 KM (VOLUME COMPACTADO)
 </t>
  </si>
  <si>
    <t>FORNECIMENTO E COLOCAÇÃO DE PLACA DE OBRA EM CHAPA GALVANIZADA (3,00 X 1,5 0 M) - EM CHAPA GALVANIZADA 0,26 AFIXADAS COM REBITES 540 E PARAFUSOS 3/8, EM ESTRUTURA METÁLICA VIGA U 2" ENRIJECIDA COM METALON 20 X 20, SUPORTE EM EUCALIPTO AUTOCLAVADO PINTADAS</t>
  </si>
  <si>
    <t xml:space="preserve">ED-50274 </t>
  </si>
  <si>
    <t xml:space="preserve">LOCAÇÃO TOPOGRÁFICA ATE 20 PONTOS </t>
  </si>
  <si>
    <t>Rua Arlindo de Painva de Oliveira (Trecho 01)</t>
  </si>
  <si>
    <t>Rua Arlindo de Painva de Oliveira (Trecho 02)</t>
  </si>
  <si>
    <t>Rua Arlindo de Painva de Oliveira (Trecho 03)</t>
  </si>
  <si>
    <t>(((16,73+17,03)/2)*6,28)*0,15</t>
  </si>
  <si>
    <t>(((26,55+26,65)/2)*6,45)*0,15</t>
  </si>
  <si>
    <t>Rua Arlindo de Painva de Oliveira (Rotatoria)</t>
  </si>
  <si>
    <t xml:space="preserve">Rua João Coelho </t>
  </si>
  <si>
    <t>(((42,09+43,51)/2)*6,6)*0,15</t>
  </si>
  <si>
    <t>Área irregular obtida atraves do auto cad (218,18*0,15)</t>
  </si>
  <si>
    <t>(((16,73+17,03)/2)*6,28)</t>
  </si>
  <si>
    <t>(((26,55+26,65)/2)*6,45)</t>
  </si>
  <si>
    <t>(((42,09+43,51)/2)*6,6)</t>
  </si>
  <si>
    <t>Área irregular obtida atraves do auto cad (218,18)</t>
  </si>
  <si>
    <t>(((115,90+118,32)/2)*6,27)*0,15</t>
  </si>
  <si>
    <t>106,01+734,28+171,57+218,18+282,48</t>
  </si>
  <si>
    <t>(((115,90+118,32)/2)*6,27)</t>
  </si>
  <si>
    <t>(((16,73+17,03)/2)*6,28)*0,15)*12</t>
  </si>
  <si>
    <t>(((16,73+17,03)/2)*(6,28-0,6))</t>
  </si>
  <si>
    <t>(((115,90+118,32)/2)*(6,27-0,6))</t>
  </si>
  <si>
    <t>(((26,55+26,65)/2)*(6,45-0,60)</t>
  </si>
  <si>
    <t>(((42,09+43,51)/2)*(6,6-0,6))</t>
  </si>
  <si>
    <t>Área irregular obtida atraves do auto cad (202,49)</t>
  </si>
  <si>
    <t>TRANSPORTE DE CONCRETO BETUMINOSO USINADO A QUENTE. DISTÂNCIA MÉDIA DE TRANSPORTE &gt; 50,00 KM (VOLUME COMPACTADO)</t>
  </si>
  <si>
    <t>3,84+26,56+6,22+8,1+10,27</t>
  </si>
  <si>
    <t>153,41+1062,42+248,98+323,98+410,88</t>
  </si>
  <si>
    <t>MICROOMINAS</t>
  </si>
  <si>
    <t>20 M2</t>
  </si>
  <si>
    <t>0,0012 T/M2</t>
  </si>
  <si>
    <t>T</t>
  </si>
  <si>
    <t>((((115,90+118,32)/2)*6,27)*0,15)*15</t>
  </si>
  <si>
    <t>(((26,55+26,65)/2)*6,45)*0,15)*15</t>
  </si>
  <si>
    <t>((((42,09+43,51)/2)*6,6)*0,15)*15</t>
  </si>
  <si>
    <t>Área irregular obtida atraves do auto cad (218,18*0,15*15)</t>
  </si>
  <si>
    <t>(((16,73+17,03)/2)*6,28)*0,20</t>
  </si>
  <si>
    <t>(((115,90+118,32)/2)*6,27)*0,20</t>
  </si>
  <si>
    <t>(((26,55+26,65)/2)*6,45)*0,20</t>
  </si>
  <si>
    <t>Área irregular obtida atraves do auto cad (218,18*0,20)</t>
  </si>
  <si>
    <t>(((42,09+43,51)/2)*6,6)*0,20</t>
  </si>
  <si>
    <t>(((16,73+17,03)/2)*6,28)*0,0012*40)  IMPRIMIÇÃO +    (((16,73+17,03)/2)*6,28-0,60)*0,0004*40)   PINUTRA  DE LIGAÇÃO</t>
  </si>
  <si>
    <t>((((115,90+118,32)/2)*6,27)*0,0012)*40 IMPRIMAÇÃO   +     ((((115,90+118,32)/2)*6,27)*0,0004)*40  PINTURA DE LIGAÇÃO</t>
  </si>
  <si>
    <t>Área irregular obtida atraves do auto cad                                (218,18*0,0012)*40) IMPRIMAÇÃO    +                                             (218,18*0,0004)*40) PINTURA DE LIGAÇÃO</t>
  </si>
  <si>
    <t>((((42,09+43,51)/2)*6,6)*0,0012)*40 IMPRIMAÇÃO  +             ((((42,09+43,51)/2)*6,6)*0,0004)*40 PINTURA DE LIGAÇÃO</t>
  </si>
  <si>
    <t>(((26,55+26,65)/2)*6,45)*0,0012)*40  IMPRIMAÇÃO   +         (((26,55+26,65)/2)*6,45)*0,0004)*40   PINTURA DE LIGAÇÃO</t>
  </si>
  <si>
    <t>238,51+1652,13+386,03+490,91+635,58</t>
  </si>
  <si>
    <t>2+2+2+3</t>
  </si>
  <si>
    <t>10*3+(6,28-0,60)</t>
  </si>
  <si>
    <t>10*3+(6,27-0,60)</t>
  </si>
  <si>
    <t>10*3+(6,45-0,60)</t>
  </si>
  <si>
    <t>11*3+(6,6-0,60)</t>
  </si>
  <si>
    <t>16,7+17,0</t>
  </si>
  <si>
    <t>115,90+118,30</t>
  </si>
  <si>
    <t>42,09+43,50</t>
  </si>
  <si>
    <t>12,50+25,20+14,50</t>
  </si>
  <si>
    <t>26,55+26,63</t>
  </si>
  <si>
    <t>33,7+234,2+53,18+52,2+85,59</t>
  </si>
  <si>
    <t>35,68+35,77+35,85+39</t>
  </si>
  <si>
    <t>95,88+664,01+155,61+202,49+256,8</t>
  </si>
  <si>
    <t>(((16,73+17,03)/2)*(6,28-0,6))*0,04*40</t>
  </si>
  <si>
    <t>(((115,90+118,32)/2)*(6,27-0,6))*0,04*40</t>
  </si>
  <si>
    <t>Área irregular obtida atraves do auto cad (202,49*0,04)*40</t>
  </si>
  <si>
    <t>(((42,09+43,51)/2)*(6,6-0,6))*0,04*40</t>
  </si>
  <si>
    <t>(((26,55+26,65)/2)*(6,45-0,60))*0,04*40</t>
  </si>
  <si>
    <t>15,9+110,14+25,74+32,73+42,37</t>
  </si>
  <si>
    <t>21,2+146,86+34,31+43,64+56,5</t>
  </si>
  <si>
    <t>6,78+45,87+10,73+13,71+17,67</t>
  </si>
  <si>
    <t>DATA: 30/08/2021</t>
  </si>
  <si>
    <t>REGIÃO/MÊS DE REFERÊNCIA: Região Central - sem/Desoneração Abril/2021</t>
  </si>
  <si>
    <t>Assinatura do Responsável Técnico: ______________________________________________ Local e Data:  Pains 30 de Abril de 2021</t>
  </si>
  <si>
    <t>ICAL</t>
  </si>
  <si>
    <t>Local e Data:  Pains 30 de Abril de 2021</t>
  </si>
</sst>
</file>

<file path=xl/styles.xml><?xml version="1.0" encoding="utf-8"?>
<styleSheet xmlns="http://schemas.openxmlformats.org/spreadsheetml/2006/main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&quot;R$ &quot;#,##0.00"/>
    <numFmt numFmtId="167" formatCode="0.0"/>
    <numFmt numFmtId="168" formatCode="0.00000000000%"/>
  </numFmts>
  <fonts count="38">
    <font>
      <sz val="10"/>
      <name val="Arial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sz val="7"/>
      <color indexed="8"/>
      <name val="Arial"/>
      <family val="2"/>
    </font>
    <font>
      <b/>
      <sz val="14"/>
      <color indexed="8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22"/>
      <name val="Arial"/>
      <family val="2"/>
    </font>
    <font>
      <sz val="9"/>
      <color indexed="8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0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4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4" fillId="0" borderId="0" applyFont="0" applyFill="0" applyBorder="0" applyAlignment="0" applyProtection="0"/>
  </cellStyleXfs>
  <cellXfs count="567">
    <xf numFmtId="0" fontId="0" fillId="0" borderId="0" xfId="0"/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6" fillId="0" borderId="0" xfId="0" applyFont="1"/>
    <xf numFmtId="4" fontId="8" fillId="0" borderId="5" xfId="0" applyNumberFormat="1" applyFont="1" applyBorder="1" applyAlignment="1">
      <alignment horizontal="center" vertical="center" wrapText="1"/>
    </xf>
    <xf numFmtId="4" fontId="8" fillId="0" borderId="6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9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49" fontId="10" fillId="0" borderId="11" xfId="0" applyNumberFormat="1" applyFont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 wrapText="1"/>
    </xf>
    <xf numFmtId="2" fontId="11" fillId="0" borderId="11" xfId="4" applyNumberFormat="1" applyFont="1" applyFill="1" applyBorder="1" applyAlignment="1">
      <alignment horizontal="center" vertical="center" wrapText="1"/>
    </xf>
    <xf numFmtId="4" fontId="11" fillId="0" borderId="11" xfId="0" applyNumberFormat="1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2" fontId="11" fillId="0" borderId="5" xfId="4" applyNumberFormat="1" applyFont="1" applyFill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165" fontId="11" fillId="0" borderId="5" xfId="4" applyFont="1" applyFill="1" applyBorder="1" applyAlignment="1">
      <alignment horizontal="center" vertical="center" wrapText="1"/>
    </xf>
    <xf numFmtId="49" fontId="11" fillId="0" borderId="13" xfId="0" applyNumberFormat="1" applyFont="1" applyBorder="1" applyAlignment="1">
      <alignment horizontal="center" vertical="center" wrapText="1"/>
    </xf>
    <xf numFmtId="49" fontId="11" fillId="0" borderId="14" xfId="0" applyNumberFormat="1" applyFont="1" applyBorder="1" applyAlignment="1">
      <alignment horizontal="center" vertical="center" wrapText="1"/>
    </xf>
    <xf numFmtId="0" fontId="11" fillId="0" borderId="14" xfId="0" applyFont="1" applyBorder="1" applyAlignment="1">
      <alignment horizontal="left" vertical="center" wrapText="1"/>
    </xf>
    <xf numFmtId="2" fontId="11" fillId="0" borderId="14" xfId="4" applyNumberFormat="1" applyFont="1" applyFill="1" applyBorder="1" applyAlignment="1">
      <alignment horizontal="center" vertical="center" wrapText="1"/>
    </xf>
    <xf numFmtId="4" fontId="11" fillId="0" borderId="14" xfId="0" applyNumberFormat="1" applyFont="1" applyFill="1" applyBorder="1" applyAlignment="1">
      <alignment horizontal="center" vertical="center" wrapText="1"/>
    </xf>
    <xf numFmtId="4" fontId="11" fillId="0" borderId="14" xfId="0" applyNumberFormat="1" applyFont="1" applyBorder="1" applyAlignment="1">
      <alignment horizontal="center" vertical="center" wrapText="1"/>
    </xf>
    <xf numFmtId="4" fontId="10" fillId="0" borderId="15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4" fontId="10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10" fontId="9" fillId="0" borderId="16" xfId="3" applyNumberFormat="1" applyFont="1" applyFill="1" applyBorder="1" applyAlignment="1">
      <alignment horizontal="center" vertical="center"/>
    </xf>
    <xf numFmtId="0" fontId="1" fillId="0" borderId="0" xfId="0" applyFont="1"/>
    <xf numFmtId="0" fontId="0" fillId="2" borderId="17" xfId="0" applyFill="1" applyBorder="1" applyAlignment="1"/>
    <xf numFmtId="0" fontId="0" fillId="2" borderId="18" xfId="0" applyFill="1" applyBorder="1" applyAlignment="1"/>
    <xf numFmtId="0" fontId="0" fillId="2" borderId="18" xfId="0" applyFill="1" applyBorder="1" applyAlignment="1">
      <alignment wrapText="1"/>
    </xf>
    <xf numFmtId="0" fontId="0" fillId="2" borderId="19" xfId="0" applyFill="1" applyBorder="1" applyAlignment="1"/>
    <xf numFmtId="0" fontId="0" fillId="2" borderId="0" xfId="0" applyFill="1" applyBorder="1" applyAlignment="1"/>
    <xf numFmtId="0" fontId="0" fillId="2" borderId="0" xfId="0" applyFill="1" applyBorder="1" applyAlignment="1">
      <alignment wrapText="1"/>
    </xf>
    <xf numFmtId="0" fontId="0" fillId="2" borderId="0" xfId="0" applyFill="1" applyBorder="1"/>
    <xf numFmtId="0" fontId="3" fillId="2" borderId="20" xfId="0" applyFont="1" applyFill="1" applyBorder="1" applyAlignment="1">
      <alignment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0" fillId="2" borderId="0" xfId="0" applyFill="1" applyBorder="1" applyAlignment="1">
      <alignment vertical="center" wrapText="1"/>
    </xf>
    <xf numFmtId="0" fontId="3" fillId="2" borderId="17" xfId="0" applyFont="1" applyFill="1" applyBorder="1" applyAlignment="1">
      <alignment wrapText="1"/>
    </xf>
    <xf numFmtId="0" fontId="3" fillId="2" borderId="18" xfId="0" applyFont="1" applyFill="1" applyBorder="1" applyAlignment="1">
      <alignment wrapText="1"/>
    </xf>
    <xf numFmtId="0" fontId="0" fillId="2" borderId="25" xfId="0" applyFill="1" applyBorder="1"/>
    <xf numFmtId="0" fontId="0" fillId="2" borderId="18" xfId="0" applyFill="1" applyBorder="1"/>
    <xf numFmtId="0" fontId="0" fillId="2" borderId="19" xfId="0" applyFill="1" applyBorder="1"/>
    <xf numFmtId="0" fontId="3" fillId="2" borderId="26" xfId="0" applyFont="1" applyFill="1" applyBorder="1" applyAlignment="1">
      <alignment wrapText="1"/>
    </xf>
    <xf numFmtId="0" fontId="0" fillId="0" borderId="27" xfId="0" applyBorder="1" applyAlignment="1">
      <alignment vertical="center"/>
    </xf>
    <xf numFmtId="0" fontId="3" fillId="2" borderId="0" xfId="0" applyFont="1" applyFill="1" applyBorder="1" applyAlignment="1">
      <alignment wrapText="1"/>
    </xf>
    <xf numFmtId="0" fontId="3" fillId="2" borderId="28" xfId="0" applyFont="1" applyFill="1" applyBorder="1"/>
    <xf numFmtId="0" fontId="16" fillId="2" borderId="29" xfId="0" applyFont="1" applyFill="1" applyBorder="1"/>
    <xf numFmtId="0" fontId="0" fillId="2" borderId="28" xfId="0" applyFill="1" applyBorder="1"/>
    <xf numFmtId="0" fontId="0" fillId="2" borderId="29" xfId="0" applyFill="1" applyBorder="1"/>
    <xf numFmtId="0" fontId="5" fillId="2" borderId="26" xfId="0" applyFont="1" applyFill="1" applyBorder="1"/>
    <xf numFmtId="0" fontId="5" fillId="2" borderId="0" xfId="0" applyFont="1" applyFill="1" applyBorder="1"/>
    <xf numFmtId="0" fontId="17" fillId="2" borderId="26" xfId="0" applyFont="1" applyFill="1" applyBorder="1"/>
    <xf numFmtId="0" fontId="17" fillId="2" borderId="0" xfId="0" applyFont="1" applyFill="1" applyBorder="1" applyAlignment="1">
      <alignment wrapText="1"/>
    </xf>
    <xf numFmtId="0" fontId="3" fillId="2" borderId="0" xfId="0" applyFont="1" applyFill="1" applyBorder="1" applyAlignment="1">
      <alignment horizontal="right"/>
    </xf>
    <xf numFmtId="0" fontId="16" fillId="2" borderId="30" xfId="0" applyFont="1" applyFill="1" applyBorder="1"/>
    <xf numFmtId="0" fontId="16" fillId="2" borderId="31" xfId="0" applyFont="1" applyFill="1" applyBorder="1" applyAlignment="1">
      <alignment wrapText="1"/>
    </xf>
    <xf numFmtId="0" fontId="0" fillId="2" borderId="31" xfId="0" applyFill="1" applyBorder="1"/>
    <xf numFmtId="0" fontId="0" fillId="2" borderId="32" xfId="0" applyFill="1" applyBorder="1"/>
    <xf numFmtId="0" fontId="0" fillId="2" borderId="33" xfId="0" applyFill="1" applyBorder="1"/>
    <xf numFmtId="0" fontId="24" fillId="0" borderId="17" xfId="2" applyBorder="1"/>
    <xf numFmtId="0" fontId="24" fillId="0" borderId="18" xfId="2" applyBorder="1"/>
    <xf numFmtId="0" fontId="24" fillId="0" borderId="18" xfId="2" applyBorder="1" applyAlignment="1">
      <alignment horizontal="center"/>
    </xf>
    <xf numFmtId="0" fontId="24" fillId="0" borderId="19" xfId="2" applyBorder="1"/>
    <xf numFmtId="0" fontId="24" fillId="0" borderId="0" xfId="2"/>
    <xf numFmtId="0" fontId="24" fillId="0" borderId="26" xfId="2" applyBorder="1"/>
    <xf numFmtId="0" fontId="25" fillId="0" borderId="29" xfId="2" applyFont="1" applyBorder="1" applyAlignment="1">
      <alignment vertical="top"/>
    </xf>
    <xf numFmtId="0" fontId="25" fillId="0" borderId="0" xfId="2" applyFont="1" applyBorder="1" applyAlignment="1">
      <alignment vertical="top"/>
    </xf>
    <xf numFmtId="0" fontId="26" fillId="0" borderId="29" xfId="2" applyFont="1" applyBorder="1" applyAlignment="1">
      <alignment vertical="top"/>
    </xf>
    <xf numFmtId="0" fontId="26" fillId="0" borderId="0" xfId="2" applyFont="1" applyBorder="1" applyAlignment="1">
      <alignment vertical="top"/>
    </xf>
    <xf numFmtId="0" fontId="24" fillId="0" borderId="0" xfId="2" applyBorder="1"/>
    <xf numFmtId="0" fontId="24" fillId="0" borderId="0" xfId="2" applyBorder="1" applyAlignment="1">
      <alignment horizontal="center"/>
    </xf>
    <xf numFmtId="0" fontId="24" fillId="0" borderId="29" xfId="2" applyBorder="1"/>
    <xf numFmtId="0" fontId="3" fillId="4" borderId="34" xfId="2" applyFont="1" applyFill="1" applyBorder="1" applyAlignment="1">
      <alignment horizontal="center" vertical="center" wrapText="1"/>
    </xf>
    <xf numFmtId="0" fontId="3" fillId="4" borderId="35" xfId="2" applyFont="1" applyFill="1" applyBorder="1" applyAlignment="1">
      <alignment horizontal="center" vertical="center" wrapText="1"/>
    </xf>
    <xf numFmtId="0" fontId="3" fillId="4" borderId="36" xfId="2" applyFont="1" applyFill="1" applyBorder="1" applyAlignment="1">
      <alignment horizontal="center" vertical="center" wrapText="1"/>
    </xf>
    <xf numFmtId="0" fontId="3" fillId="4" borderId="1" xfId="2" applyFont="1" applyFill="1" applyBorder="1" applyAlignment="1">
      <alignment horizontal="center" vertical="center" wrapText="1"/>
    </xf>
    <xf numFmtId="0" fontId="5" fillId="5" borderId="37" xfId="2" applyFont="1" applyFill="1" applyBorder="1" applyAlignment="1">
      <alignment horizontal="left" vertical="center" wrapText="1"/>
    </xf>
    <xf numFmtId="165" fontId="5" fillId="6" borderId="38" xfId="5" applyNumberFormat="1" applyFont="1" applyFill="1" applyBorder="1" applyAlignment="1">
      <alignment horizontal="right"/>
    </xf>
    <xf numFmtId="0" fontId="3" fillId="5" borderId="39" xfId="2" applyFont="1" applyFill="1" applyBorder="1" applyAlignment="1">
      <alignment horizontal="left" vertical="center" wrapText="1"/>
    </xf>
    <xf numFmtId="165" fontId="5" fillId="6" borderId="40" xfId="5" applyNumberFormat="1" applyFont="1" applyFill="1" applyBorder="1" applyAlignment="1">
      <alignment horizontal="center" vertical="center"/>
    </xf>
    <xf numFmtId="165" fontId="5" fillId="6" borderId="38" xfId="5" applyNumberFormat="1" applyFont="1" applyFill="1" applyBorder="1" applyAlignment="1">
      <alignment horizontal="center" vertical="center" wrapText="1"/>
    </xf>
    <xf numFmtId="165" fontId="5" fillId="6" borderId="41" xfId="5" applyNumberFormat="1" applyFont="1" applyFill="1" applyBorder="1" applyAlignment="1">
      <alignment horizontal="center" vertical="center" wrapText="1"/>
    </xf>
    <xf numFmtId="165" fontId="5" fillId="6" borderId="38" xfId="5" applyNumberFormat="1" applyFont="1" applyFill="1" applyBorder="1" applyAlignment="1">
      <alignment horizontal="center" vertical="center"/>
    </xf>
    <xf numFmtId="165" fontId="5" fillId="6" borderId="41" xfId="5" applyNumberFormat="1" applyFont="1" applyFill="1" applyBorder="1" applyAlignment="1">
      <alignment horizontal="center" vertical="center"/>
    </xf>
    <xf numFmtId="165" fontId="5" fillId="6" borderId="42" xfId="5" applyNumberFormat="1" applyFont="1" applyFill="1" applyBorder="1" applyAlignment="1">
      <alignment horizontal="center" vertical="center"/>
    </xf>
    <xf numFmtId="165" fontId="5" fillId="6" borderId="29" xfId="5" applyNumberFormat="1" applyFont="1" applyFill="1" applyBorder="1" applyAlignment="1">
      <alignment horizontal="center" vertical="center" wrapText="1"/>
    </xf>
    <xf numFmtId="0" fontId="3" fillId="4" borderId="8" xfId="2" applyFont="1" applyFill="1" applyBorder="1" applyAlignment="1">
      <alignment vertical="center" wrapText="1"/>
    </xf>
    <xf numFmtId="0" fontId="3" fillId="4" borderId="43" xfId="2" applyFont="1" applyFill="1" applyBorder="1" applyAlignment="1">
      <alignment vertical="center" wrapText="1"/>
    </xf>
    <xf numFmtId="165" fontId="3" fillId="4" borderId="8" xfId="2" applyNumberFormat="1" applyFont="1" applyFill="1" applyBorder="1" applyAlignment="1">
      <alignment horizontal="center"/>
    </xf>
    <xf numFmtId="165" fontId="3" fillId="4" borderId="9" xfId="2" applyNumberFormat="1" applyFont="1" applyFill="1" applyBorder="1"/>
    <xf numFmtId="0" fontId="24" fillId="0" borderId="44" xfId="2" applyBorder="1" applyAlignment="1"/>
    <xf numFmtId="0" fontId="24" fillId="0" borderId="0" xfId="2" applyAlignment="1">
      <alignment horizontal="center"/>
    </xf>
    <xf numFmtId="0" fontId="16" fillId="0" borderId="0" xfId="2" applyFont="1" applyFill="1" applyBorder="1" applyAlignment="1" applyProtection="1">
      <alignment horizontal="center" vertical="center" wrapText="1"/>
      <protection locked="0"/>
    </xf>
    <xf numFmtId="0" fontId="25" fillId="0" borderId="19" xfId="2" applyFont="1" applyBorder="1" applyAlignment="1">
      <alignment vertical="top"/>
    </xf>
    <xf numFmtId="0" fontId="3" fillId="7" borderId="45" xfId="2" applyFont="1" applyFill="1" applyBorder="1" applyAlignment="1">
      <alignment vertical="center"/>
    </xf>
    <xf numFmtId="0" fontId="3" fillId="7" borderId="46" xfId="2" applyFont="1" applyFill="1" applyBorder="1" applyAlignment="1">
      <alignment vertical="center"/>
    </xf>
    <xf numFmtId="0" fontId="3" fillId="7" borderId="0" xfId="2" applyFont="1" applyFill="1" applyBorder="1" applyAlignment="1">
      <alignment vertical="center"/>
    </xf>
    <xf numFmtId="0" fontId="3" fillId="7" borderId="29" xfId="2" applyFont="1" applyFill="1" applyBorder="1" applyAlignment="1">
      <alignment vertical="center"/>
    </xf>
    <xf numFmtId="0" fontId="24" fillId="7" borderId="30" xfId="2" applyFill="1" applyBorder="1" applyAlignment="1">
      <alignment vertical="center"/>
    </xf>
    <xf numFmtId="0" fontId="24" fillId="7" borderId="31" xfId="2" applyFill="1" applyBorder="1" applyAlignment="1">
      <alignment vertical="center"/>
    </xf>
    <xf numFmtId="0" fontId="24" fillId="7" borderId="33" xfId="2" applyFill="1" applyBorder="1" applyAlignment="1">
      <alignment vertical="center"/>
    </xf>
    <xf numFmtId="0" fontId="3" fillId="4" borderId="47" xfId="2" applyFont="1" applyFill="1" applyBorder="1" applyAlignment="1">
      <alignment horizontal="center" vertical="center" wrapText="1"/>
    </xf>
    <xf numFmtId="0" fontId="3" fillId="4" borderId="48" xfId="2" applyFont="1" applyFill="1" applyBorder="1" applyAlignment="1">
      <alignment horizontal="center" vertical="center" wrapText="1"/>
    </xf>
    <xf numFmtId="0" fontId="3" fillId="4" borderId="49" xfId="2" applyFont="1" applyFill="1" applyBorder="1" applyAlignment="1">
      <alignment horizontal="center" vertical="center" wrapText="1"/>
    </xf>
    <xf numFmtId="0" fontId="3" fillId="4" borderId="50" xfId="2" applyFont="1" applyFill="1" applyBorder="1" applyAlignment="1">
      <alignment horizontal="center" vertical="center" wrapText="1"/>
    </xf>
    <xf numFmtId="0" fontId="5" fillId="5" borderId="51" xfId="2" applyFont="1" applyFill="1" applyBorder="1" applyAlignment="1">
      <alignment horizontal="left" vertical="center" wrapText="1"/>
    </xf>
    <xf numFmtId="165" fontId="5" fillId="6" borderId="38" xfId="5" applyNumberFormat="1" applyFont="1" applyFill="1" applyBorder="1" applyAlignment="1">
      <alignment vertical="center"/>
    </xf>
    <xf numFmtId="165" fontId="5" fillId="6" borderId="38" xfId="5" applyNumberFormat="1" applyFont="1" applyFill="1" applyBorder="1" applyAlignment="1">
      <alignment horizontal="left" vertical="center"/>
    </xf>
    <xf numFmtId="165" fontId="5" fillId="6" borderId="40" xfId="5" applyNumberFormat="1" applyFont="1" applyFill="1" applyBorder="1" applyAlignment="1">
      <alignment vertical="center"/>
    </xf>
    <xf numFmtId="165" fontId="5" fillId="6" borderId="52" xfId="5" applyNumberFormat="1" applyFont="1" applyFill="1" applyBorder="1" applyAlignment="1">
      <alignment horizontal="left" vertical="center"/>
    </xf>
    <xf numFmtId="165" fontId="27" fillId="6" borderId="38" xfId="5" applyNumberFormat="1" applyFont="1" applyFill="1" applyBorder="1" applyAlignment="1">
      <alignment horizontal="center" vertical="center"/>
    </xf>
    <xf numFmtId="165" fontId="28" fillId="6" borderId="38" xfId="5" applyNumberFormat="1" applyFont="1" applyFill="1" applyBorder="1" applyAlignment="1">
      <alignment horizontal="center" vertical="center"/>
    </xf>
    <xf numFmtId="0" fontId="5" fillId="5" borderId="53" xfId="2" applyFont="1" applyFill="1" applyBorder="1" applyAlignment="1">
      <alignment horizontal="left" vertical="center" wrapText="1"/>
    </xf>
    <xf numFmtId="0" fontId="3" fillId="5" borderId="54" xfId="2" applyFont="1" applyFill="1" applyBorder="1" applyAlignment="1">
      <alignment horizontal="left" vertical="center" wrapText="1"/>
    </xf>
    <xf numFmtId="165" fontId="5" fillId="6" borderId="55" xfId="5" applyNumberFormat="1" applyFont="1" applyFill="1" applyBorder="1" applyAlignment="1">
      <alignment horizontal="left" vertical="center"/>
    </xf>
    <xf numFmtId="165" fontId="5" fillId="6" borderId="56" xfId="5" applyNumberFormat="1" applyFont="1" applyFill="1" applyBorder="1" applyAlignment="1">
      <alignment horizontal="left" vertical="center"/>
    </xf>
    <xf numFmtId="165" fontId="5" fillId="6" borderId="57" xfId="5" applyNumberFormat="1" applyFont="1" applyFill="1" applyBorder="1" applyAlignment="1">
      <alignment horizontal="left" vertical="center"/>
    </xf>
    <xf numFmtId="165" fontId="5" fillId="6" borderId="58" xfId="5" applyNumberFormat="1" applyFont="1" applyFill="1" applyBorder="1" applyAlignment="1">
      <alignment vertical="center"/>
    </xf>
    <xf numFmtId="165" fontId="5" fillId="6" borderId="59" xfId="5" applyNumberFormat="1" applyFont="1" applyFill="1" applyBorder="1" applyAlignment="1">
      <alignment horizontal="left" vertical="center"/>
    </xf>
    <xf numFmtId="0" fontId="3" fillId="5" borderId="56" xfId="2" applyFont="1" applyFill="1" applyBorder="1" applyAlignment="1">
      <alignment horizontal="right" vertical="center" wrapText="1"/>
    </xf>
    <xf numFmtId="165" fontId="5" fillId="6" borderId="55" xfId="5" applyNumberFormat="1" applyFont="1" applyFill="1" applyBorder="1" applyAlignment="1">
      <alignment horizontal="center" vertical="center"/>
    </xf>
    <xf numFmtId="165" fontId="5" fillId="6" borderId="56" xfId="5" applyNumberFormat="1" applyFont="1" applyFill="1" applyBorder="1" applyAlignment="1">
      <alignment horizontal="center" vertical="center"/>
    </xf>
    <xf numFmtId="165" fontId="5" fillId="6" borderId="56" xfId="5" applyNumberFormat="1" applyFont="1" applyFill="1" applyBorder="1" applyAlignment="1">
      <alignment vertical="center"/>
    </xf>
    <xf numFmtId="165" fontId="3" fillId="6" borderId="55" xfId="5" applyNumberFormat="1" applyFont="1" applyFill="1" applyBorder="1" applyAlignment="1">
      <alignment vertical="center"/>
    </xf>
    <xf numFmtId="0" fontId="5" fillId="5" borderId="37" xfId="2" applyFont="1" applyFill="1" applyBorder="1" applyAlignment="1">
      <alignment horizontal="center" vertical="center" wrapText="1"/>
    </xf>
    <xf numFmtId="0" fontId="3" fillId="5" borderId="38" xfId="2" applyFont="1" applyFill="1" applyBorder="1" applyAlignment="1">
      <alignment horizontal="right" vertical="center" wrapText="1"/>
    </xf>
    <xf numFmtId="165" fontId="3" fillId="6" borderId="38" xfId="5" applyNumberFormat="1" applyFont="1" applyFill="1" applyBorder="1" applyAlignment="1">
      <alignment vertical="center"/>
    </xf>
    <xf numFmtId="165" fontId="3" fillId="6" borderId="52" xfId="5" applyNumberFormat="1" applyFont="1" applyFill="1" applyBorder="1" applyAlignment="1">
      <alignment vertical="center"/>
    </xf>
    <xf numFmtId="0" fontId="5" fillId="5" borderId="60" xfId="2" applyFont="1" applyFill="1" applyBorder="1" applyAlignment="1">
      <alignment horizontal="left" vertical="center" wrapText="1"/>
    </xf>
    <xf numFmtId="0" fontId="3" fillId="5" borderId="55" xfId="2" applyFont="1" applyFill="1" applyBorder="1" applyAlignment="1">
      <alignment horizontal="right" vertical="center" wrapText="1"/>
    </xf>
    <xf numFmtId="165" fontId="5" fillId="6" borderId="39" xfId="5" applyNumberFormat="1" applyFont="1" applyFill="1" applyBorder="1" applyAlignment="1">
      <alignment horizontal="center" vertical="center"/>
    </xf>
    <xf numFmtId="165" fontId="5" fillId="6" borderId="39" xfId="5" applyNumberFormat="1" applyFont="1" applyFill="1" applyBorder="1" applyAlignment="1">
      <alignment vertical="center"/>
    </xf>
    <xf numFmtId="165" fontId="5" fillId="6" borderId="39" xfId="5" applyNumberFormat="1" applyFont="1" applyFill="1" applyBorder="1" applyAlignment="1">
      <alignment horizontal="left" vertical="center"/>
    </xf>
    <xf numFmtId="165" fontId="5" fillId="6" borderId="61" xfId="5" applyNumberFormat="1" applyFont="1" applyFill="1" applyBorder="1" applyAlignment="1">
      <alignment vertical="center"/>
    </xf>
    <xf numFmtId="165" fontId="5" fillId="6" borderId="62" xfId="5" applyNumberFormat="1" applyFont="1" applyFill="1" applyBorder="1" applyAlignment="1">
      <alignment horizontal="left" vertical="center"/>
    </xf>
    <xf numFmtId="165" fontId="24" fillId="0" borderId="0" xfId="2" applyNumberFormat="1"/>
    <xf numFmtId="0" fontId="5" fillId="5" borderId="63" xfId="2" applyFont="1" applyFill="1" applyBorder="1" applyAlignment="1">
      <alignment horizontal="center" vertical="center" wrapText="1"/>
    </xf>
    <xf numFmtId="0" fontId="3" fillId="5" borderId="64" xfId="2" applyFont="1" applyFill="1" applyBorder="1" applyAlignment="1">
      <alignment horizontal="right" vertical="center" wrapText="1"/>
    </xf>
    <xf numFmtId="165" fontId="5" fillId="6" borderId="65" xfId="5" applyNumberFormat="1" applyFont="1" applyFill="1" applyBorder="1" applyAlignment="1">
      <alignment horizontal="center" vertical="center"/>
    </xf>
    <xf numFmtId="165" fontId="5" fillId="6" borderId="64" xfId="5" applyNumberFormat="1" applyFont="1" applyFill="1" applyBorder="1" applyAlignment="1">
      <alignment vertical="center"/>
    </xf>
    <xf numFmtId="165" fontId="5" fillId="6" borderId="0" xfId="5" applyNumberFormat="1" applyFont="1" applyFill="1" applyBorder="1" applyAlignment="1">
      <alignment vertical="center"/>
    </xf>
    <xf numFmtId="165" fontId="3" fillId="6" borderId="42" xfId="5" applyNumberFormat="1" applyFont="1" applyFill="1" applyBorder="1" applyAlignment="1">
      <alignment vertical="center"/>
    </xf>
    <xf numFmtId="165" fontId="3" fillId="6" borderId="32" xfId="5" applyNumberFormat="1" applyFont="1" applyFill="1" applyBorder="1" applyAlignment="1">
      <alignment vertical="center"/>
    </xf>
    <xf numFmtId="165" fontId="3" fillId="6" borderId="66" xfId="5" applyNumberFormat="1" applyFont="1" applyFill="1" applyBorder="1" applyAlignment="1">
      <alignment vertical="center"/>
    </xf>
    <xf numFmtId="0" fontId="24" fillId="4" borderId="67" xfId="2" applyFill="1" applyBorder="1"/>
    <xf numFmtId="0" fontId="3" fillId="4" borderId="3" xfId="2" applyFont="1" applyFill="1" applyBorder="1" applyAlignment="1">
      <alignment horizontal="right" vertical="center" wrapText="1"/>
    </xf>
    <xf numFmtId="0" fontId="24" fillId="4" borderId="3" xfId="2" applyFill="1" applyBorder="1"/>
    <xf numFmtId="0" fontId="24" fillId="4" borderId="43" xfId="2" applyFill="1" applyBorder="1"/>
    <xf numFmtId="165" fontId="29" fillId="4" borderId="43" xfId="2" applyNumberFormat="1" applyFont="1" applyFill="1" applyBorder="1"/>
    <xf numFmtId="165" fontId="3" fillId="4" borderId="8" xfId="2" applyNumberFormat="1" applyFont="1" applyFill="1" applyBorder="1"/>
    <xf numFmtId="43" fontId="24" fillId="0" borderId="0" xfId="2" applyNumberFormat="1"/>
    <xf numFmtId="4" fontId="24" fillId="0" borderId="0" xfId="2" applyNumberFormat="1"/>
    <xf numFmtId="0" fontId="3" fillId="7" borderId="68" xfId="2" applyFont="1" applyFill="1" applyBorder="1" applyAlignment="1">
      <alignment vertical="center"/>
    </xf>
    <xf numFmtId="4" fontId="24" fillId="7" borderId="27" xfId="2" applyNumberFormat="1" applyFill="1" applyBorder="1" applyAlignment="1">
      <alignment vertical="center"/>
    </xf>
    <xf numFmtId="4" fontId="3" fillId="7" borderId="69" xfId="2" applyNumberFormat="1" applyFont="1" applyFill="1" applyBorder="1" applyAlignment="1">
      <alignment horizontal="right" vertical="center"/>
    </xf>
    <xf numFmtId="0" fontId="3" fillId="7" borderId="27" xfId="2" applyFont="1" applyFill="1" applyBorder="1" applyAlignment="1">
      <alignment vertical="center"/>
    </xf>
    <xf numFmtId="4" fontId="3" fillId="7" borderId="27" xfId="2" applyNumberFormat="1" applyFont="1" applyFill="1" applyBorder="1" applyAlignment="1">
      <alignment vertical="center"/>
    </xf>
    <xf numFmtId="0" fontId="3" fillId="7" borderId="26" xfId="2" applyFont="1" applyFill="1" applyBorder="1" applyAlignment="1">
      <alignment vertical="center"/>
    </xf>
    <xf numFmtId="0" fontId="24" fillId="7" borderId="0" xfId="2" applyFill="1" applyBorder="1" applyAlignment="1">
      <alignment vertical="center"/>
    </xf>
    <xf numFmtId="4" fontId="24" fillId="7" borderId="0" xfId="2" applyNumberFormat="1" applyFill="1" applyBorder="1" applyAlignment="1">
      <alignment vertical="center"/>
    </xf>
    <xf numFmtId="4" fontId="24" fillId="7" borderId="29" xfId="2" applyNumberFormat="1" applyFill="1" applyBorder="1" applyAlignment="1">
      <alignment vertical="center"/>
    </xf>
    <xf numFmtId="0" fontId="24" fillId="7" borderId="26" xfId="2" applyFill="1" applyBorder="1" applyAlignment="1">
      <alignment vertical="center"/>
    </xf>
    <xf numFmtId="4" fontId="3" fillId="4" borderId="35" xfId="2" applyNumberFormat="1" applyFont="1" applyFill="1" applyBorder="1" applyAlignment="1">
      <alignment horizontal="center" vertical="center" wrapText="1"/>
    </xf>
    <xf numFmtId="4" fontId="3" fillId="4" borderId="70" xfId="2" applyNumberFormat="1" applyFont="1" applyFill="1" applyBorder="1" applyAlignment="1">
      <alignment horizontal="center" vertical="center" wrapText="1"/>
    </xf>
    <xf numFmtId="167" fontId="3" fillId="5" borderId="71" xfId="2" applyNumberFormat="1" applyFont="1" applyFill="1" applyBorder="1" applyAlignment="1">
      <alignment horizontal="center" vertical="center"/>
    </xf>
    <xf numFmtId="4" fontId="3" fillId="6" borderId="72" xfId="5" applyNumberFormat="1" applyFont="1" applyFill="1" applyBorder="1" applyAlignment="1">
      <alignment horizontal="center" vertical="center" wrapText="1"/>
    </xf>
    <xf numFmtId="4" fontId="3" fillId="6" borderId="73" xfId="5" applyNumberFormat="1" applyFont="1" applyFill="1" applyBorder="1" applyAlignment="1">
      <alignment horizontal="center" vertical="center" wrapText="1"/>
    </xf>
    <xf numFmtId="167" fontId="5" fillId="5" borderId="71" xfId="2" applyNumberFormat="1" applyFont="1" applyFill="1" applyBorder="1" applyAlignment="1">
      <alignment horizontal="center" vertical="center"/>
    </xf>
    <xf numFmtId="4" fontId="5" fillId="6" borderId="38" xfId="5" applyNumberFormat="1" applyFont="1" applyFill="1" applyBorder="1" applyAlignment="1">
      <alignment horizontal="center" vertical="center"/>
    </xf>
    <xf numFmtId="4" fontId="5" fillId="6" borderId="38" xfId="5" applyNumberFormat="1" applyFont="1" applyFill="1" applyBorder="1" applyAlignment="1">
      <alignment vertical="center"/>
    </xf>
    <xf numFmtId="4" fontId="3" fillId="4" borderId="38" xfId="5" applyNumberFormat="1" applyFont="1" applyFill="1" applyBorder="1" applyAlignment="1">
      <alignment vertical="center"/>
    </xf>
    <xf numFmtId="4" fontId="5" fillId="6" borderId="52" xfId="5" applyNumberFormat="1" applyFont="1" applyFill="1" applyBorder="1" applyAlignment="1">
      <alignment vertical="center"/>
    </xf>
    <xf numFmtId="4" fontId="3" fillId="6" borderId="38" xfId="5" applyNumberFormat="1" applyFont="1" applyFill="1" applyBorder="1" applyAlignment="1">
      <alignment vertical="center"/>
    </xf>
    <xf numFmtId="167" fontId="5" fillId="5" borderId="37" xfId="2" applyNumberFormat="1" applyFont="1" applyFill="1" applyBorder="1" applyAlignment="1">
      <alignment horizontal="center" vertical="center"/>
    </xf>
    <xf numFmtId="4" fontId="3" fillId="4" borderId="52" xfId="5" applyNumberFormat="1" applyFont="1" applyFill="1" applyBorder="1" applyAlignment="1">
      <alignment vertical="center"/>
    </xf>
    <xf numFmtId="167" fontId="3" fillId="5" borderId="37" xfId="2" applyNumberFormat="1" applyFont="1" applyFill="1" applyBorder="1" applyAlignment="1">
      <alignment horizontal="center" vertical="center"/>
    </xf>
    <xf numFmtId="0" fontId="27" fillId="5" borderId="67" xfId="2" applyFont="1" applyFill="1" applyBorder="1" applyAlignment="1">
      <alignment horizontal="left" vertical="top" wrapText="1"/>
    </xf>
    <xf numFmtId="0" fontId="27" fillId="5" borderId="74" xfId="2" applyFont="1" applyFill="1" applyBorder="1" applyAlignment="1">
      <alignment horizontal="left" vertical="top" wrapText="1"/>
    </xf>
    <xf numFmtId="4" fontId="5" fillId="6" borderId="64" xfId="5" applyNumberFormat="1" applyFont="1" applyFill="1" applyBorder="1" applyAlignment="1">
      <alignment horizontal="center" vertical="center"/>
    </xf>
    <xf numFmtId="4" fontId="5" fillId="6" borderId="64" xfId="5" applyNumberFormat="1" applyFont="1" applyFill="1" applyBorder="1" applyAlignment="1">
      <alignment vertical="center"/>
    </xf>
    <xf numFmtId="4" fontId="5" fillId="6" borderId="75" xfId="5" applyNumberFormat="1" applyFont="1" applyFill="1" applyBorder="1" applyAlignment="1">
      <alignment vertical="center"/>
    </xf>
    <xf numFmtId="167" fontId="5" fillId="5" borderId="76" xfId="2" applyNumberFormat="1" applyFont="1" applyFill="1" applyBorder="1" applyAlignment="1">
      <alignment horizontal="center" vertical="center"/>
    </xf>
    <xf numFmtId="4" fontId="5" fillId="6" borderId="39" xfId="5" applyNumberFormat="1" applyFont="1" applyFill="1" applyBorder="1" applyAlignment="1">
      <alignment horizontal="center" vertical="center"/>
    </xf>
    <xf numFmtId="4" fontId="5" fillId="6" borderId="39" xfId="5" applyNumberFormat="1" applyFont="1" applyFill="1" applyBorder="1" applyAlignment="1">
      <alignment vertical="center"/>
    </xf>
    <xf numFmtId="4" fontId="5" fillId="6" borderId="62" xfId="5" applyNumberFormat="1" applyFont="1" applyFill="1" applyBorder="1" applyAlignment="1">
      <alignment vertical="center"/>
    </xf>
    <xf numFmtId="165" fontId="5" fillId="4" borderId="38" xfId="5" applyNumberFormat="1" applyFont="1" applyFill="1" applyBorder="1" applyAlignment="1">
      <alignment vertical="center"/>
    </xf>
    <xf numFmtId="167" fontId="3" fillId="5" borderId="63" xfId="2" applyNumberFormat="1" applyFont="1" applyFill="1" applyBorder="1" applyAlignment="1">
      <alignment horizontal="center" vertical="center"/>
    </xf>
    <xf numFmtId="0" fontId="2" fillId="0" borderId="0" xfId="0" applyFont="1"/>
    <xf numFmtId="0" fontId="0" fillId="2" borderId="29" xfId="0" applyFill="1" applyBorder="1" applyAlignment="1"/>
    <xf numFmtId="0" fontId="3" fillId="2" borderId="27" xfId="0" applyFont="1" applyFill="1" applyBorder="1" applyAlignment="1">
      <alignment horizontal="center" wrapText="1"/>
    </xf>
    <xf numFmtId="0" fontId="16" fillId="2" borderId="0" xfId="0" applyFont="1" applyFill="1" applyBorder="1"/>
    <xf numFmtId="0" fontId="16" fillId="2" borderId="0" xfId="0" applyFont="1" applyFill="1" applyBorder="1" applyAlignment="1">
      <alignment wrapText="1"/>
    </xf>
    <xf numFmtId="0" fontId="2" fillId="0" borderId="31" xfId="0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24" fillId="0" borderId="35" xfId="2" applyBorder="1" applyAlignment="1">
      <alignment horizontal="center"/>
    </xf>
    <xf numFmtId="10" fontId="3" fillId="0" borderId="16" xfId="3" applyNumberFormat="1" applyFont="1" applyFill="1" applyBorder="1" applyAlignment="1">
      <alignment horizontal="center" vertical="center"/>
    </xf>
    <xf numFmtId="49" fontId="30" fillId="2" borderId="39" xfId="0" applyNumberFormat="1" applyFont="1" applyFill="1" applyBorder="1" applyAlignment="1">
      <alignment horizontal="center" vertical="top" wrapText="1"/>
    </xf>
    <xf numFmtId="10" fontId="31" fillId="2" borderId="39" xfId="0" applyNumberFormat="1" applyFont="1" applyFill="1" applyBorder="1" applyAlignment="1">
      <alignment vertical="top" wrapText="1"/>
    </xf>
    <xf numFmtId="10" fontId="30" fillId="2" borderId="39" xfId="0" applyNumberFormat="1" applyFont="1" applyFill="1" applyBorder="1" applyAlignment="1">
      <alignment vertical="top" wrapText="1"/>
    </xf>
    <xf numFmtId="10" fontId="30" fillId="2" borderId="39" xfId="4" applyNumberFormat="1" applyFont="1" applyFill="1" applyBorder="1" applyAlignment="1">
      <alignment vertical="top" wrapText="1"/>
    </xf>
    <xf numFmtId="10" fontId="30" fillId="2" borderId="62" xfId="0" applyNumberFormat="1" applyFont="1" applyFill="1" applyBorder="1" applyAlignment="1">
      <alignment vertical="top" wrapText="1"/>
    </xf>
    <xf numFmtId="49" fontId="30" fillId="2" borderId="38" xfId="0" applyNumberFormat="1" applyFont="1" applyFill="1" applyBorder="1" applyAlignment="1">
      <alignment horizontal="center" vertical="top" wrapText="1"/>
    </xf>
    <xf numFmtId="166" fontId="30" fillId="2" borderId="38" xfId="0" applyNumberFormat="1" applyFont="1" applyFill="1" applyBorder="1" applyAlignment="1">
      <alignment vertical="top" wrapText="1"/>
    </xf>
    <xf numFmtId="10" fontId="31" fillId="2" borderId="39" xfId="4" applyNumberFormat="1" applyFont="1" applyFill="1" applyBorder="1" applyAlignment="1">
      <alignment vertical="top" wrapText="1"/>
    </xf>
    <xf numFmtId="10" fontId="31" fillId="2" borderId="62" xfId="0" applyNumberFormat="1" applyFont="1" applyFill="1" applyBorder="1" applyAlignment="1">
      <alignment vertical="top" wrapText="1"/>
    </xf>
    <xf numFmtId="166" fontId="30" fillId="2" borderId="52" xfId="0" applyNumberFormat="1" applyFont="1" applyFill="1" applyBorder="1" applyAlignment="1">
      <alignment vertical="top" wrapText="1"/>
    </xf>
    <xf numFmtId="49" fontId="30" fillId="2" borderId="55" xfId="0" applyNumberFormat="1" applyFont="1" applyFill="1" applyBorder="1" applyAlignment="1">
      <alignment horizontal="center" vertical="top" wrapText="1"/>
    </xf>
    <xf numFmtId="49" fontId="31" fillId="2" borderId="72" xfId="0" applyNumberFormat="1" applyFont="1" applyFill="1" applyBorder="1" applyAlignment="1">
      <alignment horizontal="center" vertical="top" wrapText="1"/>
    </xf>
    <xf numFmtId="10" fontId="31" fillId="2" borderId="72" xfId="0" applyNumberFormat="1" applyFont="1" applyFill="1" applyBorder="1" applyAlignment="1">
      <alignment vertical="top" wrapText="1"/>
    </xf>
    <xf numFmtId="49" fontId="31" fillId="2" borderId="64" xfId="0" applyNumberFormat="1" applyFont="1" applyFill="1" applyBorder="1" applyAlignment="1">
      <alignment horizontal="center" vertical="top" wrapText="1"/>
    </xf>
    <xf numFmtId="166" fontId="31" fillId="2" borderId="64" xfId="0" applyNumberFormat="1" applyFont="1" applyFill="1" applyBorder="1" applyAlignment="1">
      <alignment vertical="top" wrapText="1"/>
    </xf>
    <xf numFmtId="0" fontId="29" fillId="0" borderId="7" xfId="0" applyFont="1" applyFill="1" applyBorder="1" applyAlignment="1">
      <alignment horizontal="center" vertical="center"/>
    </xf>
    <xf numFmtId="0" fontId="29" fillId="0" borderId="8" xfId="0" applyFont="1" applyFill="1" applyBorder="1" applyAlignment="1">
      <alignment horizontal="center" vertical="center"/>
    </xf>
    <xf numFmtId="0" fontId="29" fillId="0" borderId="8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49" fontId="32" fillId="0" borderId="11" xfId="0" applyNumberFormat="1" applyFont="1" applyBorder="1" applyAlignment="1">
      <alignment horizontal="center" vertical="center" wrapText="1"/>
    </xf>
    <xf numFmtId="0" fontId="32" fillId="0" borderId="11" xfId="0" applyFont="1" applyBorder="1" applyAlignment="1">
      <alignment horizontal="left" vertical="center" wrapText="1"/>
    </xf>
    <xf numFmtId="2" fontId="33" fillId="0" borderId="11" xfId="4" applyNumberFormat="1" applyFont="1" applyFill="1" applyBorder="1" applyAlignment="1">
      <alignment horizontal="center" vertical="center" wrapText="1"/>
    </xf>
    <xf numFmtId="4" fontId="33" fillId="0" borderId="11" xfId="0" applyNumberFormat="1" applyFont="1" applyBorder="1" applyAlignment="1">
      <alignment horizontal="center" vertical="center" wrapText="1"/>
    </xf>
    <xf numFmtId="164" fontId="32" fillId="0" borderId="77" xfId="1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49" fontId="33" fillId="0" borderId="5" xfId="0" applyNumberFormat="1" applyFont="1" applyBorder="1" applyAlignment="1">
      <alignment horizontal="center" vertical="center" wrapText="1"/>
    </xf>
    <xf numFmtId="0" fontId="33" fillId="0" borderId="5" xfId="0" applyFont="1" applyBorder="1" applyAlignment="1">
      <alignment horizontal="left" vertical="center" wrapText="1"/>
    </xf>
    <xf numFmtId="2" fontId="33" fillId="0" borderId="5" xfId="4" applyNumberFormat="1" applyFont="1" applyFill="1" applyBorder="1" applyAlignment="1">
      <alignment horizontal="center" vertical="center" wrapText="1"/>
    </xf>
    <xf numFmtId="4" fontId="33" fillId="0" borderId="5" xfId="0" applyNumberFormat="1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49" fontId="32" fillId="0" borderId="5" xfId="0" applyNumberFormat="1" applyFont="1" applyBorder="1" applyAlignment="1">
      <alignment horizontal="center" vertical="center" wrapText="1"/>
    </xf>
    <xf numFmtId="0" fontId="32" fillId="0" borderId="5" xfId="0" applyFont="1" applyBorder="1" applyAlignment="1">
      <alignment horizontal="left" vertical="center" wrapText="1"/>
    </xf>
    <xf numFmtId="164" fontId="32" fillId="0" borderId="78" xfId="1" applyFont="1" applyBorder="1" applyAlignment="1">
      <alignment horizontal="center" vertical="center" wrapText="1"/>
    </xf>
    <xf numFmtId="0" fontId="33" fillId="0" borderId="79" xfId="0" applyFont="1" applyBorder="1" applyAlignment="1">
      <alignment horizontal="left" vertical="center" wrapText="1"/>
    </xf>
    <xf numFmtId="2" fontId="33" fillId="0" borderId="80" xfId="4" applyNumberFormat="1" applyFont="1" applyFill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49" fontId="33" fillId="0" borderId="13" xfId="0" applyNumberFormat="1" applyFont="1" applyBorder="1" applyAlignment="1">
      <alignment horizontal="center" vertical="center" wrapText="1"/>
    </xf>
    <xf numFmtId="49" fontId="33" fillId="0" borderId="14" xfId="0" applyNumberFormat="1" applyFont="1" applyBorder="1" applyAlignment="1">
      <alignment horizontal="center" vertical="center" wrapText="1"/>
    </xf>
    <xf numFmtId="0" fontId="33" fillId="0" borderId="14" xfId="0" applyFont="1" applyBorder="1" applyAlignment="1">
      <alignment horizontal="left" vertical="center" wrapText="1"/>
    </xf>
    <xf numFmtId="2" fontId="33" fillId="0" borderId="14" xfId="4" applyNumberFormat="1" applyFont="1" applyFill="1" applyBorder="1" applyAlignment="1">
      <alignment horizontal="center" vertical="center" wrapText="1"/>
    </xf>
    <xf numFmtId="4" fontId="33" fillId="0" borderId="14" xfId="0" applyNumberFormat="1" applyFont="1" applyFill="1" applyBorder="1" applyAlignment="1">
      <alignment horizontal="center" vertical="center" wrapText="1"/>
    </xf>
    <xf numFmtId="4" fontId="33" fillId="0" borderId="14" xfId="0" applyNumberFormat="1" applyFont="1" applyBorder="1" applyAlignment="1">
      <alignment horizontal="center" vertical="center" wrapText="1"/>
    </xf>
    <xf numFmtId="10" fontId="3" fillId="3" borderId="22" xfId="0" applyNumberFormat="1" applyFont="1" applyFill="1" applyBorder="1" applyAlignment="1">
      <alignment horizontal="center"/>
    </xf>
    <xf numFmtId="10" fontId="3" fillId="0" borderId="24" xfId="3" applyNumberFormat="1" applyFont="1" applyFill="1" applyBorder="1" applyAlignment="1"/>
    <xf numFmtId="10" fontId="3" fillId="3" borderId="81" xfId="0" applyNumberFormat="1" applyFont="1" applyFill="1" applyBorder="1" applyAlignment="1">
      <alignment horizontal="center"/>
    </xf>
    <xf numFmtId="10" fontId="3" fillId="0" borderId="82" xfId="3" applyNumberFormat="1" applyFont="1" applyFill="1" applyBorder="1" applyAlignment="1"/>
    <xf numFmtId="0" fontId="0" fillId="0" borderId="47" xfId="0" applyBorder="1" applyAlignment="1"/>
    <xf numFmtId="0" fontId="0" fillId="0" borderId="48" xfId="0" applyNumberFormat="1" applyBorder="1" applyAlignment="1">
      <alignment horizontal="center"/>
    </xf>
    <xf numFmtId="10" fontId="0" fillId="0" borderId="48" xfId="0" applyNumberFormat="1" applyBorder="1" applyAlignment="1">
      <alignment horizontal="left"/>
    </xf>
    <xf numFmtId="0" fontId="0" fillId="0" borderId="34" xfId="0" applyBorder="1" applyAlignment="1"/>
    <xf numFmtId="0" fontId="0" fillId="0" borderId="35" xfId="0" applyNumberFormat="1" applyBorder="1" applyAlignment="1">
      <alignment horizontal="center"/>
    </xf>
    <xf numFmtId="10" fontId="0" fillId="0" borderId="35" xfId="0" applyNumberFormat="1" applyBorder="1" applyAlignment="1">
      <alignment horizontal="left"/>
    </xf>
    <xf numFmtId="0" fontId="16" fillId="0" borderId="34" xfId="0" applyFont="1" applyBorder="1" applyAlignment="1"/>
    <xf numFmtId="0" fontId="0" fillId="0" borderId="83" xfId="0" applyBorder="1" applyAlignment="1"/>
    <xf numFmtId="0" fontId="0" fillId="0" borderId="81" xfId="0" applyNumberFormat="1" applyBorder="1" applyAlignment="1">
      <alignment horizontal="center"/>
    </xf>
    <xf numFmtId="10" fontId="0" fillId="0" borderId="81" xfId="0" applyNumberFormat="1" applyBorder="1" applyAlignment="1">
      <alignment horizontal="left"/>
    </xf>
    <xf numFmtId="0" fontId="27" fillId="0" borderId="0" xfId="0" applyFont="1" applyBorder="1" applyAlignment="1">
      <alignment horizontal="left" vertical="center"/>
    </xf>
    <xf numFmtId="0" fontId="27" fillId="0" borderId="0" xfId="0" applyFont="1" applyBorder="1" applyAlignment="1">
      <alignment horizontal="center" vertical="center"/>
    </xf>
    <xf numFmtId="10" fontId="0" fillId="0" borderId="0" xfId="0" applyNumberFormat="1"/>
    <xf numFmtId="10" fontId="0" fillId="0" borderId="0" xfId="3" applyNumberFormat="1" applyFont="1"/>
    <xf numFmtId="164" fontId="2" fillId="0" borderId="0" xfId="1" applyFont="1"/>
    <xf numFmtId="0" fontId="0" fillId="0" borderId="36" xfId="0" applyBorder="1" applyAlignment="1">
      <alignment horizontal="center"/>
    </xf>
    <xf numFmtId="0" fontId="0" fillId="0" borderId="35" xfId="0" applyBorder="1" applyAlignment="1">
      <alignment horizontal="center"/>
    </xf>
    <xf numFmtId="0" fontId="34" fillId="0" borderId="35" xfId="0" applyFont="1" applyBorder="1"/>
    <xf numFmtId="0" fontId="35" fillId="0" borderId="35" xfId="0" applyFont="1" applyBorder="1"/>
    <xf numFmtId="44" fontId="35" fillId="0" borderId="35" xfId="1" applyNumberFormat="1" applyFont="1" applyBorder="1"/>
    <xf numFmtId="0" fontId="34" fillId="0" borderId="84" xfId="0" applyFont="1" applyBorder="1"/>
    <xf numFmtId="0" fontId="35" fillId="0" borderId="84" xfId="0" applyFont="1" applyBorder="1"/>
    <xf numFmtId="44" fontId="35" fillId="0" borderId="84" xfId="1" applyNumberFormat="1" applyFont="1" applyBorder="1"/>
    <xf numFmtId="0" fontId="34" fillId="0" borderId="7" xfId="0" applyFont="1" applyFill="1" applyBorder="1"/>
    <xf numFmtId="0" fontId="35" fillId="0" borderId="3" xfId="0" applyFont="1" applyBorder="1"/>
    <xf numFmtId="44" fontId="35" fillId="0" borderId="15" xfId="0" applyNumberFormat="1" applyFont="1" applyBorder="1"/>
    <xf numFmtId="0" fontId="35" fillId="0" borderId="74" xfId="0" applyFont="1" applyBorder="1"/>
    <xf numFmtId="0" fontId="3" fillId="0" borderId="35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 wrapText="1"/>
    </xf>
    <xf numFmtId="0" fontId="22" fillId="8" borderId="35" xfId="0" applyFont="1" applyFill="1" applyBorder="1"/>
    <xf numFmtId="0" fontId="0" fillId="8" borderId="36" xfId="0" applyFill="1" applyBorder="1" applyAlignment="1">
      <alignment vertical="center"/>
    </xf>
    <xf numFmtId="0" fontId="0" fillId="8" borderId="44" xfId="0" applyFill="1" applyBorder="1" applyAlignment="1">
      <alignment vertical="center"/>
    </xf>
    <xf numFmtId="2" fontId="17" fillId="0" borderId="36" xfId="0" applyNumberFormat="1" applyFont="1" applyBorder="1" applyAlignment="1">
      <alignment horizontal="right" vertical="center"/>
    </xf>
    <xf numFmtId="0" fontId="20" fillId="0" borderId="35" xfId="0" applyFont="1" applyBorder="1" applyAlignment="1">
      <alignment vertical="center" wrapText="1"/>
    </xf>
    <xf numFmtId="2" fontId="3" fillId="8" borderId="36" xfId="0" applyNumberFormat="1" applyFont="1" applyFill="1" applyBorder="1" applyAlignment="1">
      <alignment horizontal="right" vertical="center"/>
    </xf>
    <xf numFmtId="0" fontId="3" fillId="8" borderId="44" xfId="0" applyFont="1" applyFill="1" applyBorder="1" applyAlignment="1">
      <alignment horizontal="left" vertical="center"/>
    </xf>
    <xf numFmtId="2" fontId="3" fillId="0" borderId="36" xfId="0" applyNumberFormat="1" applyFont="1" applyBorder="1" applyAlignment="1">
      <alignment horizontal="right" vertical="center"/>
    </xf>
    <xf numFmtId="0" fontId="22" fillId="8" borderId="35" xfId="0" applyFont="1" applyFill="1" applyBorder="1" applyAlignment="1">
      <alignment horizontal="center"/>
    </xf>
    <xf numFmtId="0" fontId="16" fillId="0" borderId="35" xfId="0" applyFont="1" applyBorder="1" applyAlignment="1">
      <alignment horizontal="center" vertical="center"/>
    </xf>
    <xf numFmtId="2" fontId="3" fillId="0" borderId="35" xfId="0" applyNumberFormat="1" applyFont="1" applyBorder="1" applyAlignment="1">
      <alignment horizontal="right" vertical="center"/>
    </xf>
    <xf numFmtId="0" fontId="17" fillId="8" borderId="35" xfId="0" applyFont="1" applyFill="1" applyBorder="1" applyAlignment="1">
      <alignment wrapText="1"/>
    </xf>
    <xf numFmtId="0" fontId="16" fillId="7" borderId="35" xfId="0" applyFont="1" applyFill="1" applyBorder="1" applyAlignment="1">
      <alignment wrapText="1"/>
    </xf>
    <xf numFmtId="0" fontId="0" fillId="8" borderId="35" xfId="0" applyFill="1" applyBorder="1" applyAlignment="1">
      <alignment horizontal="center" vertical="center"/>
    </xf>
    <xf numFmtId="0" fontId="0" fillId="7" borderId="35" xfId="0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3" fillId="0" borderId="35" xfId="0" applyNumberFormat="1" applyFont="1" applyBorder="1" applyAlignment="1">
      <alignment horizontal="left" vertical="center"/>
    </xf>
    <xf numFmtId="0" fontId="0" fillId="0" borderId="0" xfId="0" applyBorder="1"/>
    <xf numFmtId="4" fontId="3" fillId="7" borderId="0" xfId="2" applyNumberFormat="1" applyFont="1" applyFill="1" applyBorder="1" applyAlignment="1">
      <alignment horizontal="right" vertical="center"/>
    </xf>
    <xf numFmtId="0" fontId="33" fillId="0" borderId="5" xfId="0" applyFont="1" applyBorder="1" applyAlignment="1">
      <alignment horizontal="left" vertical="top" wrapText="1"/>
    </xf>
    <xf numFmtId="0" fontId="3" fillId="0" borderId="35" xfId="0" applyFont="1" applyBorder="1" applyAlignment="1">
      <alignment horizontal="left" vertical="center"/>
    </xf>
    <xf numFmtId="43" fontId="16" fillId="0" borderId="0" xfId="2" applyNumberFormat="1" applyFont="1" applyFill="1" applyBorder="1" applyAlignment="1" applyProtection="1">
      <alignment horizontal="center" vertical="center" wrapText="1"/>
      <protection locked="0"/>
    </xf>
    <xf numFmtId="0" fontId="16" fillId="7" borderId="35" xfId="0" applyFont="1" applyFill="1" applyBorder="1" applyAlignment="1">
      <alignment vertical="top" wrapText="1"/>
    </xf>
    <xf numFmtId="0" fontId="16" fillId="0" borderId="35" xfId="0" applyFont="1" applyBorder="1" applyAlignment="1">
      <alignment horizontal="center" vertical="center" wrapText="1"/>
    </xf>
    <xf numFmtId="0" fontId="5" fillId="0" borderId="0" xfId="0" applyFont="1"/>
    <xf numFmtId="0" fontId="3" fillId="7" borderId="35" xfId="0" applyFont="1" applyFill="1" applyBorder="1" applyAlignment="1">
      <alignment horizontal="center" vertical="center"/>
    </xf>
    <xf numFmtId="0" fontId="17" fillId="7" borderId="35" xfId="0" applyFont="1" applyFill="1" applyBorder="1" applyAlignment="1">
      <alignment wrapText="1"/>
    </xf>
    <xf numFmtId="0" fontId="17" fillId="0" borderId="35" xfId="0" applyFont="1" applyBorder="1" applyAlignment="1">
      <alignment horizontal="center" vertical="center"/>
    </xf>
    <xf numFmtId="0" fontId="17" fillId="7" borderId="35" xfId="0" applyFont="1" applyFill="1" applyBorder="1" applyAlignment="1">
      <alignment vertical="top" wrapText="1"/>
    </xf>
    <xf numFmtId="0" fontId="23" fillId="0" borderId="35" xfId="0" applyFont="1" applyBorder="1" applyAlignment="1">
      <alignment vertical="center" wrapText="1"/>
    </xf>
    <xf numFmtId="164" fontId="33" fillId="0" borderId="6" xfId="1" applyFont="1" applyBorder="1" applyAlignment="1">
      <alignment horizontal="center" vertical="center" wrapText="1"/>
    </xf>
    <xf numFmtId="164" fontId="32" fillId="0" borderId="6" xfId="1" applyFont="1" applyBorder="1" applyAlignment="1">
      <alignment horizontal="center" vertical="center" wrapText="1"/>
    </xf>
    <xf numFmtId="164" fontId="33" fillId="0" borderId="85" xfId="1" applyFont="1" applyBorder="1" applyAlignment="1">
      <alignment horizontal="center" vertical="center" wrapText="1"/>
    </xf>
    <xf numFmtId="164" fontId="32" fillId="0" borderId="15" xfId="1" applyFont="1" applyBorder="1" applyAlignment="1">
      <alignment horizontal="center" vertical="center" wrapText="1"/>
    </xf>
    <xf numFmtId="164" fontId="33" fillId="0" borderId="5" xfId="1" applyFont="1" applyBorder="1" applyAlignment="1">
      <alignment horizontal="center" vertical="center" wrapText="1"/>
    </xf>
    <xf numFmtId="164" fontId="33" fillId="0" borderId="86" xfId="1" applyFont="1" applyBorder="1" applyAlignment="1">
      <alignment horizontal="center" vertical="center" wrapText="1"/>
    </xf>
    <xf numFmtId="164" fontId="33" fillId="0" borderId="80" xfId="1" applyFont="1" applyBorder="1" applyAlignment="1">
      <alignment horizontal="center" vertical="center" wrapText="1"/>
    </xf>
    <xf numFmtId="2" fontId="16" fillId="0" borderId="35" xfId="4" applyNumberFormat="1" applyFont="1" applyFill="1" applyBorder="1" applyAlignment="1">
      <alignment horizontal="center" vertical="center"/>
    </xf>
    <xf numFmtId="4" fontId="3" fillId="0" borderId="35" xfId="0" applyNumberFormat="1" applyFont="1" applyBorder="1" applyAlignment="1">
      <alignment horizontal="center" vertical="center"/>
    </xf>
    <xf numFmtId="0" fontId="3" fillId="7" borderId="0" xfId="2" applyFont="1" applyFill="1" applyBorder="1" applyAlignment="1">
      <alignment vertical="center" wrapText="1"/>
    </xf>
    <xf numFmtId="0" fontId="17" fillId="8" borderId="35" xfId="0" applyFont="1" applyFill="1" applyBorder="1" applyAlignment="1">
      <alignment vertical="top" wrapText="1"/>
    </xf>
    <xf numFmtId="0" fontId="3" fillId="8" borderId="35" xfId="0" applyFont="1" applyFill="1" applyBorder="1" applyAlignment="1">
      <alignment horizontal="center" vertical="center"/>
    </xf>
    <xf numFmtId="0" fontId="0" fillId="2" borderId="26" xfId="0" applyFill="1" applyBorder="1" applyAlignment="1"/>
    <xf numFmtId="0" fontId="0" fillId="2" borderId="26" xfId="0" applyFill="1" applyBorder="1"/>
    <xf numFmtId="10" fontId="31" fillId="2" borderId="73" xfId="0" applyNumberFormat="1" applyFont="1" applyFill="1" applyBorder="1" applyAlignment="1">
      <alignment vertical="top" wrapText="1"/>
    </xf>
    <xf numFmtId="166" fontId="31" fillId="2" borderId="75" xfId="0" applyNumberFormat="1" applyFont="1" applyFill="1" applyBorder="1" applyAlignment="1">
      <alignment vertical="top" wrapText="1"/>
    </xf>
    <xf numFmtId="0" fontId="0" fillId="2" borderId="26" xfId="0" applyFill="1" applyBorder="1" applyAlignment="1">
      <alignment vertical="center"/>
    </xf>
    <xf numFmtId="0" fontId="0" fillId="2" borderId="29" xfId="0" applyFill="1" applyBorder="1" applyAlignment="1">
      <alignment vertical="center"/>
    </xf>
    <xf numFmtId="165" fontId="0" fillId="0" borderId="0" xfId="4" applyFont="1"/>
    <xf numFmtId="168" fontId="0" fillId="0" borderId="0" xfId="3" applyNumberFormat="1" applyFont="1"/>
    <xf numFmtId="0" fontId="12" fillId="0" borderId="8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87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7" borderId="35" xfId="2" applyFont="1" applyFill="1" applyBorder="1" applyAlignment="1">
      <alignment horizontal="left" vertical="center"/>
    </xf>
    <xf numFmtId="0" fontId="3" fillId="7" borderId="35" xfId="2" applyFont="1" applyFill="1" applyBorder="1" applyAlignment="1">
      <alignment horizontal="left" vertical="center" wrapText="1"/>
    </xf>
    <xf numFmtId="0" fontId="3" fillId="0" borderId="35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27" fillId="5" borderId="67" xfId="2" applyFont="1" applyFill="1" applyBorder="1" applyAlignment="1">
      <alignment horizontal="left" vertical="top" wrapText="1"/>
    </xf>
    <xf numFmtId="0" fontId="27" fillId="5" borderId="74" xfId="2" applyFont="1" applyFill="1" applyBorder="1" applyAlignment="1">
      <alignment horizontal="left" vertical="top" wrapText="1"/>
    </xf>
    <xf numFmtId="0" fontId="29" fillId="5" borderId="67" xfId="2" applyFont="1" applyFill="1" applyBorder="1" applyAlignment="1">
      <alignment horizontal="center" vertical="top" wrapText="1"/>
    </xf>
    <xf numFmtId="0" fontId="29" fillId="5" borderId="74" xfId="2" applyFont="1" applyFill="1" applyBorder="1" applyAlignment="1">
      <alignment horizontal="center" vertical="top" wrapText="1"/>
    </xf>
    <xf numFmtId="0" fontId="3" fillId="7" borderId="27" xfId="2" applyFont="1" applyFill="1" applyBorder="1" applyAlignment="1">
      <alignment horizontal="left" vertical="center" wrapText="1"/>
    </xf>
    <xf numFmtId="0" fontId="3" fillId="7" borderId="69" xfId="2" applyFont="1" applyFill="1" applyBorder="1" applyAlignment="1">
      <alignment horizontal="left" vertical="center" wrapText="1"/>
    </xf>
    <xf numFmtId="0" fontId="25" fillId="0" borderId="0" xfId="2" applyFont="1" applyBorder="1" applyAlignment="1">
      <alignment horizontal="center" vertical="top"/>
    </xf>
    <xf numFmtId="0" fontId="18" fillId="7" borderId="26" xfId="2" applyFont="1" applyFill="1" applyBorder="1" applyAlignment="1">
      <alignment horizontal="center" vertical="center"/>
    </xf>
    <xf numFmtId="0" fontId="18" fillId="7" borderId="0" xfId="2" applyFont="1" applyFill="1" applyBorder="1" applyAlignment="1">
      <alignment horizontal="center" vertical="center"/>
    </xf>
    <xf numFmtId="0" fontId="18" fillId="7" borderId="29" xfId="2" applyFont="1" applyFill="1" applyBorder="1" applyAlignment="1">
      <alignment horizontal="center" vertical="center"/>
    </xf>
    <xf numFmtId="0" fontId="15" fillId="7" borderId="67" xfId="2" applyFont="1" applyFill="1" applyBorder="1" applyAlignment="1">
      <alignment horizontal="center" vertical="center"/>
    </xf>
    <xf numFmtId="0" fontId="15" fillId="7" borderId="3" xfId="2" applyFont="1" applyFill="1" applyBorder="1" applyAlignment="1">
      <alignment horizontal="center" vertical="center"/>
    </xf>
    <xf numFmtId="0" fontId="15" fillId="7" borderId="74" xfId="2" applyFont="1" applyFill="1" applyBorder="1" applyAlignment="1">
      <alignment horizontal="center" vertical="center"/>
    </xf>
    <xf numFmtId="0" fontId="3" fillId="4" borderId="88" xfId="2" applyFont="1" applyFill="1" applyBorder="1" applyAlignment="1">
      <alignment horizontal="center" vertical="center" wrapText="1"/>
    </xf>
    <xf numFmtId="0" fontId="3" fillId="4" borderId="89" xfId="2" applyFont="1" applyFill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27" fillId="5" borderId="67" xfId="2" applyFont="1" applyFill="1" applyBorder="1" applyAlignment="1">
      <alignment horizontal="center" vertical="top" wrapText="1"/>
    </xf>
    <xf numFmtId="0" fontId="27" fillId="5" borderId="74" xfId="2" applyFont="1" applyFill="1" applyBorder="1" applyAlignment="1">
      <alignment horizontal="center" vertical="top" wrapText="1"/>
    </xf>
    <xf numFmtId="0" fontId="29" fillId="5" borderId="30" xfId="2" applyFont="1" applyFill="1" applyBorder="1" applyAlignment="1">
      <alignment horizontal="center" vertical="top" wrapText="1"/>
    </xf>
    <xf numFmtId="0" fontId="29" fillId="5" borderId="33" xfId="2" applyFont="1" applyFill="1" applyBorder="1" applyAlignment="1">
      <alignment horizontal="center" vertical="top" wrapText="1"/>
    </xf>
    <xf numFmtId="0" fontId="25" fillId="0" borderId="18" xfId="2" applyFont="1" applyBorder="1" applyAlignment="1">
      <alignment horizontal="center" vertical="top"/>
    </xf>
    <xf numFmtId="0" fontId="26" fillId="0" borderId="0" xfId="2" applyFont="1" applyBorder="1" applyAlignment="1">
      <alignment horizontal="center" vertical="top"/>
    </xf>
    <xf numFmtId="0" fontId="3" fillId="7" borderId="70" xfId="2" applyFont="1" applyFill="1" applyBorder="1" applyAlignment="1">
      <alignment horizontal="left" vertical="center" wrapText="1"/>
    </xf>
    <xf numFmtId="0" fontId="3" fillId="7" borderId="36" xfId="2" applyFont="1" applyFill="1" applyBorder="1" applyAlignment="1">
      <alignment horizontal="left" vertical="center"/>
    </xf>
    <xf numFmtId="0" fontId="3" fillId="7" borderId="2" xfId="2" applyFont="1" applyFill="1" applyBorder="1" applyAlignment="1">
      <alignment horizontal="left" vertical="center"/>
    </xf>
    <xf numFmtId="0" fontId="3" fillId="7" borderId="1" xfId="2" applyFont="1" applyFill="1" applyBorder="1" applyAlignment="1">
      <alignment horizontal="left" vertical="center"/>
    </xf>
    <xf numFmtId="0" fontId="15" fillId="7" borderId="34" xfId="2" applyFont="1" applyFill="1" applyBorder="1" applyAlignment="1">
      <alignment horizontal="center" vertical="center"/>
    </xf>
    <xf numFmtId="0" fontId="15" fillId="7" borderId="35" xfId="2" applyFont="1" applyFill="1" applyBorder="1" applyAlignment="1">
      <alignment horizontal="center" vertical="center"/>
    </xf>
    <xf numFmtId="0" fontId="15" fillId="7" borderId="70" xfId="2" applyFont="1" applyFill="1" applyBorder="1" applyAlignment="1">
      <alignment horizontal="center" vertical="center"/>
    </xf>
    <xf numFmtId="0" fontId="24" fillId="0" borderId="35" xfId="2" applyBorder="1" applyAlignment="1">
      <alignment horizontal="center"/>
    </xf>
    <xf numFmtId="0" fontId="18" fillId="2" borderId="30" xfId="2" applyFont="1" applyFill="1" applyBorder="1" applyAlignment="1">
      <alignment horizontal="center" vertical="center"/>
    </xf>
    <xf numFmtId="0" fontId="18" fillId="2" borderId="31" xfId="2" applyFont="1" applyFill="1" applyBorder="1" applyAlignment="1">
      <alignment horizontal="center" vertical="center"/>
    </xf>
    <xf numFmtId="0" fontId="18" fillId="2" borderId="33" xfId="2" applyFont="1" applyFill="1" applyBorder="1" applyAlignment="1">
      <alignment horizontal="center" vertical="center"/>
    </xf>
    <xf numFmtId="0" fontId="3" fillId="2" borderId="23" xfId="2" applyFont="1" applyFill="1" applyBorder="1" applyAlignment="1">
      <alignment horizontal="left" vertical="center" wrapText="1"/>
    </xf>
    <xf numFmtId="0" fontId="3" fillId="2" borderId="90" xfId="2" applyFont="1" applyFill="1" applyBorder="1" applyAlignment="1">
      <alignment horizontal="left" vertical="center" wrapText="1"/>
    </xf>
    <xf numFmtId="0" fontId="3" fillId="2" borderId="20" xfId="2" applyFont="1" applyFill="1" applyBorder="1" applyAlignment="1">
      <alignment horizontal="left" vertical="center" wrapText="1"/>
    </xf>
    <xf numFmtId="0" fontId="3" fillId="2" borderId="36" xfId="2" applyFont="1" applyFill="1" applyBorder="1" applyAlignment="1">
      <alignment horizontal="left" vertical="top"/>
    </xf>
    <xf numFmtId="0" fontId="3" fillId="2" borderId="2" xfId="2" applyFont="1" applyFill="1" applyBorder="1" applyAlignment="1">
      <alignment horizontal="left" vertical="top"/>
    </xf>
    <xf numFmtId="0" fontId="3" fillId="2" borderId="44" xfId="2" applyFont="1" applyFill="1" applyBorder="1" applyAlignment="1">
      <alignment horizontal="left" vertical="top"/>
    </xf>
    <xf numFmtId="0" fontId="3" fillId="2" borderId="44" xfId="2" applyFont="1" applyFill="1" applyBorder="1" applyAlignment="1">
      <alignment horizontal="left" vertical="center"/>
    </xf>
    <xf numFmtId="0" fontId="3" fillId="2" borderId="36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44" xfId="2" applyFont="1" applyFill="1" applyBorder="1" applyAlignment="1">
      <alignment horizontal="center" vertical="center"/>
    </xf>
    <xf numFmtId="0" fontId="15" fillId="2" borderId="36" xfId="2" applyFont="1" applyFill="1" applyBorder="1" applyAlignment="1">
      <alignment horizontal="center" vertical="center"/>
    </xf>
    <xf numFmtId="0" fontId="15" fillId="2" borderId="2" xfId="2" applyFont="1" applyFill="1" applyBorder="1" applyAlignment="1">
      <alignment horizontal="center" vertical="center"/>
    </xf>
    <xf numFmtId="0" fontId="15" fillId="2" borderId="44" xfId="2" applyFont="1" applyFill="1" applyBorder="1" applyAlignment="1">
      <alignment horizontal="center" vertical="center"/>
    </xf>
    <xf numFmtId="0" fontId="24" fillId="2" borderId="45" xfId="2" applyFill="1" applyBorder="1" applyAlignment="1">
      <alignment horizontal="center" vertical="center"/>
    </xf>
    <xf numFmtId="0" fontId="24" fillId="2" borderId="2" xfId="2" applyFill="1" applyBorder="1" applyAlignment="1">
      <alignment horizontal="center" vertical="center"/>
    </xf>
    <xf numFmtId="0" fontId="24" fillId="2" borderId="1" xfId="2" applyFill="1" applyBorder="1" applyAlignment="1">
      <alignment horizontal="center" vertical="center"/>
    </xf>
    <xf numFmtId="0" fontId="3" fillId="4" borderId="67" xfId="2" applyFont="1" applyFill="1" applyBorder="1" applyAlignment="1">
      <alignment horizontal="center" vertical="center" wrapText="1"/>
    </xf>
    <xf numFmtId="0" fontId="3" fillId="4" borderId="3" xfId="2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left" vertical="center"/>
    </xf>
    <xf numFmtId="0" fontId="9" fillId="0" borderId="23" xfId="0" applyFont="1" applyFill="1" applyBorder="1" applyAlignment="1">
      <alignment horizontal="left" vertical="center"/>
    </xf>
    <xf numFmtId="0" fontId="9" fillId="0" borderId="24" xfId="0" applyFont="1" applyFill="1" applyBorder="1" applyAlignment="1">
      <alignment horizontal="left" vertical="center"/>
    </xf>
    <xf numFmtId="0" fontId="9" fillId="0" borderId="3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1" fillId="0" borderId="87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9" fillId="0" borderId="92" xfId="0" applyFont="1" applyFill="1" applyBorder="1" applyAlignment="1">
      <alignment horizontal="left" vertical="center"/>
    </xf>
    <xf numFmtId="0" fontId="9" fillId="0" borderId="93" xfId="0" applyFont="1" applyFill="1" applyBorder="1" applyAlignment="1">
      <alignment horizontal="left" vertical="center"/>
    </xf>
    <xf numFmtId="0" fontId="9" fillId="0" borderId="94" xfId="0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3" fillId="0" borderId="87" xfId="0" applyFont="1" applyBorder="1" applyAlignment="1">
      <alignment horizontal="center" vertical="center"/>
    </xf>
    <xf numFmtId="0" fontId="9" fillId="0" borderId="45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9" fillId="0" borderId="44" xfId="0" applyFont="1" applyFill="1" applyBorder="1" applyAlignment="1">
      <alignment horizontal="left" vertical="center"/>
    </xf>
    <xf numFmtId="0" fontId="9" fillId="0" borderId="30" xfId="0" applyFont="1" applyFill="1" applyBorder="1" applyAlignment="1">
      <alignment horizontal="left" vertical="center" wrapText="1"/>
    </xf>
    <xf numFmtId="0" fontId="9" fillId="0" borderId="31" xfId="0" applyFont="1" applyFill="1" applyBorder="1" applyAlignment="1">
      <alignment horizontal="left" vertical="center" wrapText="1"/>
    </xf>
    <xf numFmtId="0" fontId="9" fillId="0" borderId="93" xfId="0" applyFont="1" applyFill="1" applyBorder="1" applyAlignment="1">
      <alignment horizontal="left" vertical="center" wrapText="1"/>
    </xf>
    <xf numFmtId="0" fontId="10" fillId="0" borderId="67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right" vertical="center" wrapText="1"/>
    </xf>
    <xf numFmtId="0" fontId="10" fillId="0" borderId="74" xfId="0" applyFont="1" applyBorder="1" applyAlignment="1">
      <alignment horizontal="right" vertical="center" wrapText="1"/>
    </xf>
    <xf numFmtId="0" fontId="6" fillId="0" borderId="31" xfId="0" applyFont="1" applyFill="1" applyBorder="1" applyAlignment="1">
      <alignment horizontal="center"/>
    </xf>
    <xf numFmtId="0" fontId="9" fillId="0" borderId="35" xfId="0" applyFont="1" applyFill="1" applyBorder="1" applyAlignment="1">
      <alignment horizontal="left" vertical="center"/>
    </xf>
    <xf numFmtId="0" fontId="9" fillId="0" borderId="36" xfId="0" applyFont="1" applyFill="1" applyBorder="1" applyAlignment="1">
      <alignment horizontal="left" vertical="center"/>
    </xf>
    <xf numFmtId="0" fontId="9" fillId="0" borderId="70" xfId="0" applyFont="1" applyFill="1" applyBorder="1" applyAlignment="1">
      <alignment horizontal="left" vertical="center"/>
    </xf>
    <xf numFmtId="0" fontId="9" fillId="0" borderId="91" xfId="0" applyFont="1" applyFill="1" applyBorder="1" applyAlignment="1">
      <alignment horizontal="left" vertical="top"/>
    </xf>
    <xf numFmtId="0" fontId="9" fillId="0" borderId="90" xfId="0" applyFont="1" applyFill="1" applyBorder="1" applyAlignment="1">
      <alignment horizontal="left" vertical="top"/>
    </xf>
    <xf numFmtId="0" fontId="9" fillId="0" borderId="20" xfId="0" applyFont="1" applyFill="1" applyBorder="1" applyAlignment="1">
      <alignment horizontal="left" vertical="top"/>
    </xf>
    <xf numFmtId="0" fontId="9" fillId="0" borderId="45" xfId="0" applyFont="1" applyFill="1" applyBorder="1" applyAlignment="1">
      <alignment horizontal="left" vertical="top"/>
    </xf>
    <xf numFmtId="0" fontId="9" fillId="0" borderId="2" xfId="0" applyFont="1" applyFill="1" applyBorder="1" applyAlignment="1">
      <alignment horizontal="left" vertical="top"/>
    </xf>
    <xf numFmtId="0" fontId="9" fillId="0" borderId="44" xfId="0" applyFont="1" applyFill="1" applyBorder="1" applyAlignment="1">
      <alignment horizontal="left" vertical="top"/>
    </xf>
    <xf numFmtId="0" fontId="9" fillId="0" borderId="36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center" vertical="center"/>
    </xf>
    <xf numFmtId="0" fontId="4" fillId="0" borderId="67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74" xfId="0" applyFont="1" applyFill="1" applyBorder="1" applyAlignment="1">
      <alignment horizontal="center"/>
    </xf>
    <xf numFmtId="0" fontId="3" fillId="0" borderId="92" xfId="0" applyFont="1" applyFill="1" applyBorder="1" applyAlignment="1">
      <alignment horizontal="left" vertical="center"/>
    </xf>
    <xf numFmtId="0" fontId="3" fillId="0" borderId="93" xfId="0" applyFont="1" applyFill="1" applyBorder="1" applyAlignment="1">
      <alignment horizontal="left" vertical="center"/>
    </xf>
    <xf numFmtId="0" fontId="3" fillId="0" borderId="94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left" vertical="center"/>
    </xf>
    <xf numFmtId="0" fontId="3" fillId="0" borderId="36" xfId="0" applyFont="1" applyFill="1" applyBorder="1" applyAlignment="1">
      <alignment horizontal="left" vertical="center"/>
    </xf>
    <xf numFmtId="0" fontId="3" fillId="0" borderId="70" xfId="0" applyFont="1" applyFill="1" applyBorder="1" applyAlignment="1">
      <alignment horizontal="left" vertical="center"/>
    </xf>
    <xf numFmtId="0" fontId="3" fillId="0" borderId="91" xfId="0" applyFont="1" applyFill="1" applyBorder="1" applyAlignment="1">
      <alignment horizontal="left" vertical="top"/>
    </xf>
    <xf numFmtId="0" fontId="3" fillId="0" borderId="90" xfId="0" applyFont="1" applyFill="1" applyBorder="1" applyAlignment="1">
      <alignment horizontal="left" vertical="top"/>
    </xf>
    <xf numFmtId="0" fontId="3" fillId="0" borderId="20" xfId="0" applyFont="1" applyFill="1" applyBorder="1" applyAlignment="1">
      <alignment horizontal="left" vertical="top"/>
    </xf>
    <xf numFmtId="0" fontId="3" fillId="0" borderId="45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/>
    </xf>
    <xf numFmtId="0" fontId="3" fillId="0" borderId="44" xfId="0" applyFont="1" applyFill="1" applyBorder="1" applyAlignment="1">
      <alignment horizontal="left" vertical="top"/>
    </xf>
    <xf numFmtId="0" fontId="3" fillId="0" borderId="3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left" vertical="center"/>
    </xf>
    <xf numFmtId="0" fontId="3" fillId="0" borderId="23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left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3" fillId="0" borderId="45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44" xfId="0" applyFont="1" applyFill="1" applyBorder="1" applyAlignment="1">
      <alignment horizontal="left" vertical="center"/>
    </xf>
    <xf numFmtId="0" fontId="3" fillId="0" borderId="30" xfId="0" applyFont="1" applyFill="1" applyBorder="1" applyAlignment="1">
      <alignment horizontal="left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93" xfId="0" applyFont="1" applyFill="1" applyBorder="1" applyAlignment="1">
      <alignment horizontal="left" vertical="center" wrapText="1"/>
    </xf>
    <xf numFmtId="0" fontId="32" fillId="0" borderId="67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0" fillId="0" borderId="31" xfId="0" applyFill="1" applyBorder="1" applyAlignment="1">
      <alignment horizontal="center"/>
    </xf>
    <xf numFmtId="0" fontId="27" fillId="2" borderId="37" xfId="0" applyFont="1" applyFill="1" applyBorder="1" applyAlignment="1">
      <alignment vertical="top" wrapText="1"/>
    </xf>
    <xf numFmtId="0" fontId="27" fillId="2" borderId="38" xfId="0" applyFont="1" applyFill="1" applyBorder="1" applyAlignment="1">
      <alignment vertical="top" wrapText="1"/>
    </xf>
    <xf numFmtId="49" fontId="30" fillId="2" borderId="37" xfId="0" applyNumberFormat="1" applyFont="1" applyFill="1" applyBorder="1" applyAlignment="1">
      <alignment vertical="top" wrapText="1"/>
    </xf>
    <xf numFmtId="49" fontId="30" fillId="2" borderId="38" xfId="0" applyNumberFormat="1" applyFont="1" applyFill="1" applyBorder="1" applyAlignment="1">
      <alignment vertical="top" wrapText="1"/>
    </xf>
    <xf numFmtId="0" fontId="27" fillId="2" borderId="53" xfId="0" applyFont="1" applyFill="1" applyBorder="1" applyAlignment="1">
      <alignment vertical="top" wrapText="1"/>
    </xf>
    <xf numFmtId="0" fontId="27" fillId="2" borderId="55" xfId="0" applyFont="1" applyFill="1" applyBorder="1" applyAlignment="1">
      <alignment vertical="top" wrapText="1"/>
    </xf>
    <xf numFmtId="0" fontId="29" fillId="2" borderId="46" xfId="0" applyFont="1" applyFill="1" applyBorder="1" applyAlignment="1">
      <alignment horizontal="center" vertical="center" wrapText="1"/>
    </xf>
    <xf numFmtId="0" fontId="29" fillId="2" borderId="87" xfId="0" applyFont="1" applyFill="1" applyBorder="1" applyAlignment="1">
      <alignment horizontal="center" vertical="center" wrapText="1"/>
    </xf>
    <xf numFmtId="0" fontId="29" fillId="2" borderId="92" xfId="0" applyFont="1" applyFill="1" applyBorder="1" applyAlignment="1">
      <alignment horizontal="center" vertical="center" wrapText="1"/>
    </xf>
    <xf numFmtId="0" fontId="29" fillId="2" borderId="30" xfId="0" applyFont="1" applyFill="1" applyBorder="1" applyAlignment="1">
      <alignment horizontal="center" vertical="center" wrapText="1"/>
    </xf>
    <xf numFmtId="0" fontId="29" fillId="2" borderId="31" xfId="0" applyFont="1" applyFill="1" applyBorder="1" applyAlignment="1">
      <alignment horizontal="center" vertical="center" wrapText="1"/>
    </xf>
    <xf numFmtId="0" fontId="29" fillId="2" borderId="93" xfId="0" applyFont="1" applyFill="1" applyBorder="1" applyAlignment="1">
      <alignment horizontal="center" vertical="center" wrapText="1"/>
    </xf>
    <xf numFmtId="0" fontId="31" fillId="0" borderId="37" xfId="0" applyFont="1" applyBorder="1" applyAlignment="1">
      <alignment horizontal="center" vertical="center" wrapText="1"/>
    </xf>
    <xf numFmtId="49" fontId="31" fillId="0" borderId="38" xfId="0" applyNumberFormat="1" applyFont="1" applyBorder="1" applyAlignment="1">
      <alignment horizontal="center" vertical="center" wrapText="1"/>
    </xf>
    <xf numFmtId="0" fontId="31" fillId="0" borderId="40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27" fillId="2" borderId="40" xfId="0" applyFont="1" applyFill="1" applyBorder="1" applyAlignment="1">
      <alignment vertical="top" wrapText="1"/>
    </xf>
    <xf numFmtId="0" fontId="3" fillId="2" borderId="95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89" xfId="0" applyFont="1" applyFill="1" applyBorder="1" applyAlignment="1">
      <alignment horizontal="left" vertical="center"/>
    </xf>
    <xf numFmtId="0" fontId="3" fillId="2" borderId="88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31" fillId="0" borderId="96" xfId="0" applyFont="1" applyBorder="1" applyAlignment="1">
      <alignment horizontal="center" vertical="center" wrapText="1"/>
    </xf>
    <xf numFmtId="49" fontId="31" fillId="0" borderId="97" xfId="0" applyNumberFormat="1" applyFont="1" applyBorder="1" applyAlignment="1">
      <alignment horizontal="center" vertical="center" wrapText="1"/>
    </xf>
    <xf numFmtId="0" fontId="31" fillId="0" borderId="98" xfId="0" applyFont="1" applyBorder="1" applyAlignment="1">
      <alignment horizontal="left" vertical="center" wrapText="1"/>
    </xf>
    <xf numFmtId="0" fontId="19" fillId="2" borderId="26" xfId="0" applyFont="1" applyFill="1" applyBorder="1" applyAlignment="1">
      <alignment horizontal="center"/>
    </xf>
    <xf numFmtId="0" fontId="19" fillId="2" borderId="0" xfId="0" applyFont="1" applyFill="1" applyBorder="1" applyAlignment="1">
      <alignment horizontal="center"/>
    </xf>
    <xf numFmtId="0" fontId="19" fillId="2" borderId="29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68" xfId="0" applyFont="1" applyFill="1" applyBorder="1" applyAlignment="1">
      <alignment horizontal="left" vertical="center"/>
    </xf>
    <xf numFmtId="0" fontId="3" fillId="2" borderId="27" xfId="0" applyFont="1" applyFill="1" applyBorder="1" applyAlignment="1">
      <alignment horizontal="left" vertical="center"/>
    </xf>
    <xf numFmtId="0" fontId="3" fillId="2" borderId="99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0" fontId="3" fillId="2" borderId="90" xfId="0" applyFont="1" applyFill="1" applyBorder="1" applyAlignment="1">
      <alignment horizontal="left" vertical="center"/>
    </xf>
    <xf numFmtId="166" fontId="3" fillId="2" borderId="90" xfId="0" applyNumberFormat="1" applyFont="1" applyFill="1" applyBorder="1" applyAlignment="1">
      <alignment horizontal="left" vertical="center"/>
    </xf>
    <xf numFmtId="0" fontId="3" fillId="2" borderId="48" xfId="0" applyFont="1" applyFill="1" applyBorder="1" applyAlignment="1">
      <alignment horizontal="left" vertical="center"/>
    </xf>
    <xf numFmtId="0" fontId="3" fillId="2" borderId="50" xfId="0" applyFont="1" applyFill="1" applyBorder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68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4" fontId="0" fillId="0" borderId="22" xfId="0" applyNumberFormat="1" applyBorder="1" applyAlignment="1">
      <alignment horizontal="center"/>
    </xf>
    <xf numFmtId="0" fontId="0" fillId="0" borderId="22" xfId="0" applyBorder="1" applyAlignment="1">
      <alignment horizontal="right"/>
    </xf>
    <xf numFmtId="0" fontId="0" fillId="0" borderId="22" xfId="0" applyBorder="1" applyAlignment="1">
      <alignment horizontal="center"/>
    </xf>
    <xf numFmtId="0" fontId="0" fillId="0" borderId="83" xfId="0" applyBorder="1" applyAlignment="1">
      <alignment horizontal="center"/>
    </xf>
    <xf numFmtId="4" fontId="0" fillId="0" borderId="81" xfId="0" applyNumberFormat="1" applyBorder="1" applyAlignment="1">
      <alignment horizontal="center"/>
    </xf>
    <xf numFmtId="0" fontId="0" fillId="0" borderId="81" xfId="0" applyBorder="1" applyAlignment="1">
      <alignment horizontal="right"/>
    </xf>
    <xf numFmtId="0" fontId="0" fillId="0" borderId="81" xfId="0" applyBorder="1" applyAlignment="1">
      <alignment horizontal="center"/>
    </xf>
    <xf numFmtId="10" fontId="0" fillId="3" borderId="49" xfId="0" applyNumberFormat="1" applyFill="1" applyBorder="1" applyAlignment="1">
      <alignment horizontal="center"/>
    </xf>
    <xf numFmtId="4" fontId="0" fillId="3" borderId="99" xfId="0" applyNumberFormat="1" applyFill="1" applyBorder="1" applyAlignment="1">
      <alignment horizontal="center"/>
    </xf>
    <xf numFmtId="0" fontId="0" fillId="0" borderId="48" xfId="0" applyBorder="1" applyAlignment="1">
      <alignment horizontal="right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35" xfId="0" applyBorder="1" applyAlignment="1">
      <alignment horizontal="right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70" xfId="0" applyBorder="1" applyAlignment="1">
      <alignment horizontal="center" vertical="center" wrapText="1"/>
    </xf>
    <xf numFmtId="0" fontId="0" fillId="0" borderId="81" xfId="0" applyBorder="1" applyAlignment="1">
      <alignment horizontal="right" vertical="center" wrapText="1"/>
    </xf>
    <xf numFmtId="0" fontId="0" fillId="0" borderId="81" xfId="0" applyBorder="1" applyAlignment="1">
      <alignment horizontal="center" vertical="center" wrapText="1"/>
    </xf>
    <xf numFmtId="0" fontId="0" fillId="0" borderId="82" xfId="0" applyBorder="1" applyAlignment="1">
      <alignment horizontal="center" vertical="center" wrapText="1"/>
    </xf>
    <xf numFmtId="10" fontId="0" fillId="3" borderId="36" xfId="0" applyNumberFormat="1" applyFill="1" applyBorder="1" applyAlignment="1">
      <alignment horizontal="center"/>
    </xf>
    <xf numFmtId="4" fontId="0" fillId="3" borderId="44" xfId="0" applyNumberFormat="1" applyFill="1" applyBorder="1" applyAlignment="1">
      <alignment horizontal="center"/>
    </xf>
    <xf numFmtId="10" fontId="0" fillId="3" borderId="88" xfId="0" applyNumberFormat="1" applyFill="1" applyBorder="1" applyAlignment="1">
      <alignment horizontal="center"/>
    </xf>
    <xf numFmtId="4" fontId="0" fillId="3" borderId="89" xfId="0" applyNumberFormat="1" applyFill="1" applyBorder="1" applyAlignment="1">
      <alignment horizontal="center"/>
    </xf>
    <xf numFmtId="0" fontId="37" fillId="0" borderId="36" xfId="0" applyFont="1" applyBorder="1" applyAlignment="1">
      <alignment horizontal="center"/>
    </xf>
    <xf numFmtId="0" fontId="37" fillId="0" borderId="2" xfId="0" applyFont="1" applyBorder="1" applyAlignment="1">
      <alignment horizontal="center"/>
    </xf>
    <xf numFmtId="0" fontId="37" fillId="0" borderId="44" xfId="0" applyFont="1" applyBorder="1" applyAlignment="1">
      <alignment horizontal="center"/>
    </xf>
  </cellXfs>
  <cellStyles count="6">
    <cellStyle name="Moeda" xfId="1" builtinId="4"/>
    <cellStyle name="Normal" xfId="0" builtinId="0"/>
    <cellStyle name="Normal 2" xfId="2"/>
    <cellStyle name="Porcentagem" xfId="3" builtinId="5"/>
    <cellStyle name="Separador de milhares" xfId="4" builtinId="3"/>
    <cellStyle name="Separador de milhares 2" xfId="5"/>
  </cellStyles>
  <dxfs count="1">
    <dxf>
      <fill>
        <patternFill patternType="none">
          <bgColor indexed="6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0</xdr:row>
      <xdr:rowOff>66675</xdr:rowOff>
    </xdr:from>
    <xdr:to>
      <xdr:col>4</xdr:col>
      <xdr:colOff>19050</xdr:colOff>
      <xdr:row>0</xdr:row>
      <xdr:rowOff>704850</xdr:rowOff>
    </xdr:to>
    <xdr:sp macro="" textlink="">
      <xdr:nvSpPr>
        <xdr:cNvPr id="4097" name="Text Box 6"/>
        <xdr:cNvSpPr txBox="1">
          <a:spLocks noChangeArrowheads="1"/>
        </xdr:cNvSpPr>
      </xdr:nvSpPr>
      <xdr:spPr bwMode="auto">
        <a:xfrm>
          <a:off x="1190625" y="66675"/>
          <a:ext cx="37147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ESTADO DE MINAS GERAIS</a:t>
          </a:r>
        </a:p>
        <a:p>
          <a:pPr algn="l" rtl="0"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Secretaria de Estado de Governo</a:t>
          </a:r>
        </a:p>
        <a:p>
          <a:pPr algn="l" rtl="0">
            <a:defRPr sz="1000"/>
          </a:pPr>
          <a:r>
            <a:rPr lang="pt-B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Superintendência de Projetos da SCGI</a:t>
          </a:r>
        </a:p>
        <a:p>
          <a:pPr algn="l" rtl="0">
            <a:defRPr sz="1000"/>
          </a:pPr>
          <a:r>
            <a:rPr lang="pt-B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Diretoria de Projetos Técnicos</a:t>
          </a:r>
        </a:p>
      </xdr:txBody>
    </xdr:sp>
    <xdr:clientData/>
  </xdr:twoCellAnchor>
  <xdr:twoCellAnchor>
    <xdr:from>
      <xdr:col>0</xdr:col>
      <xdr:colOff>28575</xdr:colOff>
      <xdr:row>51</xdr:row>
      <xdr:rowOff>0</xdr:rowOff>
    </xdr:from>
    <xdr:to>
      <xdr:col>7</xdr:col>
      <xdr:colOff>800100</xdr:colOff>
      <xdr:row>53</xdr:row>
      <xdr:rowOff>114300</xdr:rowOff>
    </xdr:to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28575" y="12363450"/>
          <a:ext cx="78962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SECRETARIA DE ESTADO DE GOVERNO - SEGOV - MG</a:t>
          </a:r>
        </a:p>
        <a:p>
          <a:pPr algn="ctr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SUBSECRETARIA DE COORDENAÇÃO E GESTÃO INSTITUCIONAL- SCGI - MG</a:t>
          </a:r>
        </a:p>
        <a:p>
          <a:pPr algn="ctr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www.governo.mg.gov.br  - Fone: (31) 3915-0056 / 0054 / 005</a:t>
          </a:r>
          <a:r>
            <a:rPr lang="pt-BR" sz="8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3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0</xdr:row>
      <xdr:rowOff>66675</xdr:rowOff>
    </xdr:from>
    <xdr:to>
      <xdr:col>4</xdr:col>
      <xdr:colOff>19050</xdr:colOff>
      <xdr:row>0</xdr:row>
      <xdr:rowOff>704850</xdr:rowOff>
    </xdr:to>
    <xdr:sp macro="" textlink="">
      <xdr:nvSpPr>
        <xdr:cNvPr id="5121" name="Text Box 6"/>
        <xdr:cNvSpPr txBox="1">
          <a:spLocks noChangeArrowheads="1"/>
        </xdr:cNvSpPr>
      </xdr:nvSpPr>
      <xdr:spPr bwMode="auto">
        <a:xfrm>
          <a:off x="1190625" y="66675"/>
          <a:ext cx="37147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ESTADO DE MINAS GERAIS</a:t>
          </a:r>
        </a:p>
        <a:p>
          <a:pPr algn="l" rtl="0"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Secretaria de Estado de Governo</a:t>
          </a:r>
        </a:p>
        <a:p>
          <a:pPr algn="l" rtl="0">
            <a:defRPr sz="1000"/>
          </a:pPr>
          <a:r>
            <a:rPr lang="pt-B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Superintendência de Projetos da SUBSEAM</a:t>
          </a:r>
        </a:p>
        <a:p>
          <a:pPr algn="l" rtl="0">
            <a:defRPr sz="1000"/>
          </a:pPr>
          <a:r>
            <a:rPr lang="pt-B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Diretoria de Apoio Téncio</a:t>
          </a:r>
        </a:p>
      </xdr:txBody>
    </xdr:sp>
    <xdr:clientData/>
  </xdr:twoCellAnchor>
  <xdr:twoCellAnchor>
    <xdr:from>
      <xdr:col>0</xdr:col>
      <xdr:colOff>28575</xdr:colOff>
      <xdr:row>40</xdr:row>
      <xdr:rowOff>0</xdr:rowOff>
    </xdr:from>
    <xdr:to>
      <xdr:col>7</xdr:col>
      <xdr:colOff>800100</xdr:colOff>
      <xdr:row>42</xdr:row>
      <xdr:rowOff>114300</xdr:rowOff>
    </xdr:to>
    <xdr:sp macro="" textlink="">
      <xdr:nvSpPr>
        <xdr:cNvPr id="5122" name="Text Box 7"/>
        <xdr:cNvSpPr txBox="1">
          <a:spLocks noChangeArrowheads="1"/>
        </xdr:cNvSpPr>
      </xdr:nvSpPr>
      <xdr:spPr bwMode="auto">
        <a:xfrm>
          <a:off x="28575" y="12363450"/>
          <a:ext cx="78962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SECRETARIA DE ESTADO DE GOVERNO - SEGOV - MG</a:t>
          </a:r>
        </a:p>
        <a:p>
          <a:pPr algn="ctr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SUBSECRETARIA DE ASSUNTOS MUNICIPAIS - SUBSEAM - MG</a:t>
          </a:r>
        </a:p>
        <a:p>
          <a:pPr algn="ctr" rtl="0">
            <a:defRPr sz="1000"/>
          </a:pPr>
          <a:r>
            <a:rPr lang="pt-B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www.governo.mg.gov.br  - Fone: (31) 3915-0055 / 0054 / 005</a:t>
          </a:r>
          <a:r>
            <a:rPr lang="pt-BR" sz="8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3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0</xdr:row>
      <xdr:rowOff>0</xdr:rowOff>
    </xdr:from>
    <xdr:to>
      <xdr:col>7</xdr:col>
      <xdr:colOff>495300</xdr:colOff>
      <xdr:row>0</xdr:row>
      <xdr:rowOff>638175</xdr:rowOff>
    </xdr:to>
    <xdr:sp macro="" textlink="">
      <xdr:nvSpPr>
        <xdr:cNvPr id="6427" name="Text Box 6"/>
        <xdr:cNvSpPr txBox="1">
          <a:spLocks noChangeArrowheads="1"/>
        </xdr:cNvSpPr>
      </xdr:nvSpPr>
      <xdr:spPr bwMode="auto">
        <a:xfrm>
          <a:off x="914400" y="0"/>
          <a:ext cx="66770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47625</xdr:colOff>
      <xdr:row>35</xdr:row>
      <xdr:rowOff>171450</xdr:rowOff>
    </xdr:from>
    <xdr:to>
      <xdr:col>10</xdr:col>
      <xdr:colOff>837325</xdr:colOff>
      <xdr:row>36</xdr:row>
      <xdr:rowOff>0</xdr:rowOff>
    </xdr:to>
    <xdr:sp macro="" textlink="">
      <xdr:nvSpPr>
        <xdr:cNvPr id="3" name="Text Box 7"/>
        <xdr:cNvSpPr txBox="1">
          <a:spLocks noChangeArrowheads="1"/>
        </xdr:cNvSpPr>
      </xdr:nvSpPr>
      <xdr:spPr bwMode="auto">
        <a:xfrm>
          <a:off x="47625" y="7972425"/>
          <a:ext cx="116196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Secretaria de Estado de Transportes e Obras Públicas  - SETOP - MG</a:t>
          </a:r>
          <a:endParaRPr lang="pt-BR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pt-B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Internet: www.transportes.mg.gov.br / E-mail: dco@transportes.mg.gov.br</a:t>
          </a:r>
        </a:p>
        <a:p>
          <a:pPr algn="ctr" rtl="0">
            <a:defRPr sz="1000"/>
          </a:pPr>
          <a:r>
            <a:rPr lang="pt-B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Fone Geral: (31) 3239-0999 - Fax: (31) 3239-0899</a:t>
          </a:r>
        </a:p>
        <a:p>
          <a:pPr algn="ctr" rtl="0">
            <a:defRPr sz="1000"/>
          </a:pPr>
          <a:r>
            <a:rPr lang="pt-BR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Sede: Rua Manaus, nº 467 - Bairro Santa Efigênia - CEP 30150-350 - Belo Horizonte - MG</a:t>
          </a:r>
        </a:p>
      </xdr:txBody>
    </xdr:sp>
    <xdr:clientData/>
  </xdr:twoCellAnchor>
  <xdr:twoCellAnchor>
    <xdr:from>
      <xdr:col>1</xdr:col>
      <xdr:colOff>295275</xdr:colOff>
      <xdr:row>0</xdr:row>
      <xdr:rowOff>0</xdr:rowOff>
    </xdr:from>
    <xdr:to>
      <xdr:col>2</xdr:col>
      <xdr:colOff>3324225</xdr:colOff>
      <xdr:row>0</xdr:row>
      <xdr:rowOff>638175</xdr:rowOff>
    </xdr:to>
    <xdr:sp macro="" textlink="">
      <xdr:nvSpPr>
        <xdr:cNvPr id="6429" name="Text Box 6"/>
        <xdr:cNvSpPr txBox="1">
          <a:spLocks noChangeArrowheads="1"/>
        </xdr:cNvSpPr>
      </xdr:nvSpPr>
      <xdr:spPr bwMode="auto">
        <a:xfrm>
          <a:off x="904875" y="0"/>
          <a:ext cx="26098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59\Compartilhados\Pavimenta&#231;&#227;o%202017\Pavimenta&#231;&#227;o%20SEGOV%20Bairro%20Alvorada\Planilha%20or&#231;ament&#225;ria%20de%20custos%20Alvorad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moria  CBUQ"/>
      <sheetName val="Relação de Ruas a Pavimentar"/>
      <sheetName val="Relação de Ruas Recapeamento"/>
      <sheetName val="Memoria  Recapiar"/>
      <sheetName val="Memoria"/>
      <sheetName val="Planilha Orçamentaria"/>
      <sheetName val="Cronograma"/>
      <sheetName val="BDI"/>
      <sheetName val="Cronograma 01"/>
    </sheetNames>
    <sheetDataSet>
      <sheetData sheetId="0"/>
      <sheetData sheetId="1">
        <row r="13">
          <cell r="I13">
            <v>106.01</v>
          </cell>
        </row>
        <row r="14">
          <cell r="I14">
            <v>734.28</v>
          </cell>
        </row>
        <row r="15">
          <cell r="I15">
            <v>171.57</v>
          </cell>
        </row>
        <row r="16">
          <cell r="I16">
            <v>218.18</v>
          </cell>
        </row>
        <row r="17">
          <cell r="I17">
            <v>282.48</v>
          </cell>
        </row>
      </sheetData>
      <sheetData sheetId="2"/>
      <sheetData sheetId="3"/>
      <sheetData sheetId="4"/>
      <sheetData sheetId="5">
        <row r="12">
          <cell r="G12" t="str">
            <v>UN</v>
          </cell>
        </row>
        <row r="15">
          <cell r="G15" t="str">
            <v>PT</v>
          </cell>
        </row>
        <row r="30">
          <cell r="G30" t="str">
            <v>M</v>
          </cell>
        </row>
        <row r="31">
          <cell r="G31" t="str">
            <v>M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oleObject" Target="../embeddings/oleObject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4" Type="http://schemas.openxmlformats.org/officeDocument/2006/relationships/oleObject" Target="../embeddings/oleObject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4" Type="http://schemas.openxmlformats.org/officeDocument/2006/relationships/oleObject" Target="../embeddings/oleObject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.bin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.bin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04"/>
  <sheetViews>
    <sheetView workbookViewId="0">
      <selection activeCell="G16" sqref="G16"/>
    </sheetView>
  </sheetViews>
  <sheetFormatPr defaultRowHeight="12.75"/>
  <cols>
    <col min="1" max="1" width="9.28515625" style="319" bestFit="1" customWidth="1"/>
    <col min="2" max="2" width="60.140625" customWidth="1"/>
    <col min="3" max="3" width="53.5703125" customWidth="1"/>
    <col min="4" max="4" width="11.140625" bestFit="1" customWidth="1"/>
    <col min="15" max="15" width="8" customWidth="1"/>
  </cols>
  <sheetData>
    <row r="1" spans="1:18" ht="29.25" customHeight="1">
      <c r="A1" s="359" t="s">
        <v>196</v>
      </c>
      <c r="B1" s="359"/>
      <c r="C1" s="359"/>
      <c r="D1" s="359"/>
      <c r="E1" s="359"/>
    </row>
    <row r="2" spans="1:18">
      <c r="A2" s="365"/>
      <c r="B2" s="365"/>
      <c r="C2" s="365"/>
      <c r="D2" s="365"/>
      <c r="E2" s="365"/>
      <c r="F2" s="321"/>
      <c r="G2" s="321"/>
      <c r="H2" s="321"/>
      <c r="I2" s="321"/>
      <c r="J2" s="321"/>
      <c r="K2" s="321"/>
      <c r="L2" s="321"/>
      <c r="M2" s="321"/>
      <c r="N2" s="321"/>
      <c r="O2" s="321"/>
    </row>
    <row r="3" spans="1:18" ht="15.75" customHeight="1">
      <c r="A3" s="364" t="s">
        <v>76</v>
      </c>
      <c r="B3" s="364"/>
      <c r="C3" s="364"/>
      <c r="D3" s="364"/>
      <c r="E3" s="364"/>
      <c r="F3" s="343"/>
      <c r="G3" s="343"/>
      <c r="H3" s="343"/>
      <c r="I3" s="343"/>
      <c r="J3" s="343"/>
      <c r="K3" s="343"/>
      <c r="L3" s="343"/>
      <c r="M3" s="343"/>
      <c r="N3" s="343"/>
      <c r="O3" s="321"/>
    </row>
    <row r="4" spans="1:18" ht="15" customHeight="1">
      <c r="A4" s="363" t="s">
        <v>160</v>
      </c>
      <c r="B4" s="363"/>
      <c r="C4" s="363"/>
      <c r="D4" s="363"/>
      <c r="E4" s="363"/>
      <c r="F4" s="127"/>
      <c r="G4" s="127"/>
      <c r="H4" s="127"/>
      <c r="I4" s="127"/>
      <c r="J4" s="190"/>
      <c r="K4" s="190"/>
      <c r="L4" s="190"/>
      <c r="M4" s="190"/>
      <c r="N4" s="322"/>
    </row>
    <row r="5" spans="1:18" ht="8.25" customHeight="1">
      <c r="A5" s="366"/>
      <c r="B5" s="366"/>
      <c r="C5" s="366"/>
      <c r="D5" s="366"/>
      <c r="E5" s="366"/>
      <c r="F5" s="321"/>
      <c r="G5" s="321"/>
      <c r="H5" s="321"/>
      <c r="I5" s="321"/>
      <c r="J5" s="321"/>
      <c r="K5" s="321"/>
      <c r="L5" s="321"/>
      <c r="M5" s="321"/>
      <c r="N5" s="321"/>
    </row>
    <row r="6" spans="1:18">
      <c r="A6" s="301" t="s">
        <v>0</v>
      </c>
      <c r="B6" s="302" t="s">
        <v>1</v>
      </c>
      <c r="C6" s="301" t="s">
        <v>197</v>
      </c>
      <c r="D6" s="360" t="s">
        <v>71</v>
      </c>
      <c r="E6" s="361"/>
    </row>
    <row r="7" spans="1:18" ht="15.75" customHeight="1">
      <c r="A7" s="316">
        <f>'Planilha Orçamentaria '!A13</f>
        <v>1</v>
      </c>
      <c r="B7" s="344" t="str">
        <f>'Planilha Orçamentaria '!C13</f>
        <v>INSTALAÇÕES INICIAIS DA OBRA</v>
      </c>
      <c r="C7" s="303"/>
      <c r="D7" s="304"/>
      <c r="E7" s="305"/>
    </row>
    <row r="8" spans="1:18" ht="61.5" customHeight="1">
      <c r="A8" s="317" t="str">
        <f>'Planilha Orçamentaria '!A14</f>
        <v>1.1</v>
      </c>
      <c r="B8" s="315" t="str">
        <f>'Planilha Orçamentaria '!C14</f>
        <v>FORNECIMENTO E COLOCAÇÃO DE PLACA DE OBRA EM CHAPA GALVANIZADA (3,00 X 1,5 0 M) - EM CHAPA GALVANIZADA 0,26 AFIXADAS COM REBITES 540 E PARAFUSOS 3/8, EM ESTRUTURA METÁLICA VIGA U 2" ENRIJECIDA COM METALON 20 X 20, SUPORTE EM EUCALIPTO AUTOCLAVADO PINTADAS</v>
      </c>
      <c r="C8" s="341">
        <v>1</v>
      </c>
      <c r="D8" s="306">
        <v>1</v>
      </c>
      <c r="E8" s="331" t="s">
        <v>203</v>
      </c>
    </row>
    <row r="9" spans="1:18" ht="13.5" customHeight="1">
      <c r="A9" s="317" t="str">
        <f>'Planilha Orçamentaria '!A15</f>
        <v>1.2</v>
      </c>
      <c r="B9" s="315" t="str">
        <f>'Planilha Orçamentaria '!C15</f>
        <v xml:space="preserve">LOCAÇÃO TOPOGRÁFICA ATE 20 PONTOS </v>
      </c>
      <c r="C9" s="341">
        <v>19</v>
      </c>
      <c r="D9" s="306">
        <v>19</v>
      </c>
      <c r="E9" s="331" t="s">
        <v>203</v>
      </c>
      <c r="R9" s="321"/>
    </row>
    <row r="10" spans="1:18" ht="17.25" customHeight="1">
      <c r="A10" s="316">
        <f>'Planilha Orçamentaria '!A17</f>
        <v>2</v>
      </c>
      <c r="B10" s="314" t="str">
        <f>'Planilha Orçamentaria '!C17</f>
        <v>OBRAS VIÁRIAS</v>
      </c>
      <c r="C10" s="311"/>
      <c r="D10" s="308"/>
      <c r="E10" s="309"/>
    </row>
    <row r="11" spans="1:18" ht="15.75" customHeight="1">
      <c r="A11" s="329" t="str">
        <f>'Planilha Orçamentaria '!A18</f>
        <v>2.1</v>
      </c>
      <c r="B11" s="332" t="str">
        <f>'Planilha Orçamentaria '!C18</f>
        <v>AQUISIÇÃO DE CASCALHO PARA BASE - MUNHA DE BRITA</v>
      </c>
      <c r="C11" s="331" t="s">
        <v>271</v>
      </c>
      <c r="D11" s="313">
        <f>SUM(D12:D16)</f>
        <v>226.88</v>
      </c>
      <c r="E11" s="342" t="str">
        <f>Memoria!D17</f>
        <v>M3</v>
      </c>
    </row>
    <row r="12" spans="1:18" ht="12.75" customHeight="1">
      <c r="A12" s="317"/>
      <c r="B12" s="315" t="s">
        <v>209</v>
      </c>
      <c r="C12" s="312" t="s">
        <v>212</v>
      </c>
      <c r="D12" s="313">
        <f>ROUND((((16.73+17.03)/2)*6.28)*0.15,2)</f>
        <v>15.9</v>
      </c>
      <c r="E12" s="320"/>
    </row>
    <row r="13" spans="1:18" ht="13.5" customHeight="1">
      <c r="A13" s="317"/>
      <c r="B13" s="315" t="s">
        <v>210</v>
      </c>
      <c r="C13" s="312" t="s">
        <v>222</v>
      </c>
      <c r="D13" s="313">
        <f>ROUND((((115.9+118.32)/2)*6.27)*0.15,2)</f>
        <v>110.14</v>
      </c>
      <c r="E13" s="320"/>
    </row>
    <row r="14" spans="1:18" ht="13.5" customHeight="1">
      <c r="A14" s="317"/>
      <c r="B14" s="315" t="s">
        <v>211</v>
      </c>
      <c r="C14" s="312" t="s">
        <v>213</v>
      </c>
      <c r="D14" s="313">
        <f>ROUND((((26.55+26.65)/2)*6.45)*0.15,2)</f>
        <v>25.74</v>
      </c>
      <c r="E14" s="320"/>
    </row>
    <row r="15" spans="1:18" ht="14.25" customHeight="1">
      <c r="A15" s="317"/>
      <c r="B15" s="315" t="s">
        <v>214</v>
      </c>
      <c r="C15" s="312" t="s">
        <v>217</v>
      </c>
      <c r="D15" s="313">
        <f>ROUND((218.18*0.15),2)</f>
        <v>32.729999999999997</v>
      </c>
      <c r="E15" s="320"/>
    </row>
    <row r="16" spans="1:18" ht="12.75" customHeight="1">
      <c r="A16" s="317"/>
      <c r="B16" s="315" t="s">
        <v>215</v>
      </c>
      <c r="C16" s="312" t="s">
        <v>216</v>
      </c>
      <c r="D16" s="313">
        <f>ROUND((((42.09+43.51)/2)*6.6)*0.15,2)</f>
        <v>42.37</v>
      </c>
      <c r="E16" s="320"/>
    </row>
    <row r="17" spans="1:5" ht="13.5" customHeight="1">
      <c r="A17" s="317"/>
      <c r="B17" s="315"/>
      <c r="C17" s="312"/>
      <c r="D17" s="313"/>
      <c r="E17" s="320"/>
    </row>
    <row r="18" spans="1:5" ht="15" customHeight="1">
      <c r="A18" s="329" t="str">
        <f>'Planilha Orçamentaria '!A19</f>
        <v>2.2</v>
      </c>
      <c r="B18" s="332" t="str">
        <f>'Planilha Orçamentaria '!C19</f>
        <v>REGULARIZAÇÃO DO SUBLEITO COM PROCTOR INTERMEDIÁRIO</v>
      </c>
      <c r="C18" s="331" t="s">
        <v>223</v>
      </c>
      <c r="D18" s="313">
        <f>SUM(D19:D23)</f>
        <v>1512.52</v>
      </c>
      <c r="E18" s="342" t="str">
        <f>Memoria!D18</f>
        <v>M2</v>
      </c>
    </row>
    <row r="19" spans="1:5" ht="14.25" customHeight="1">
      <c r="A19" s="317"/>
      <c r="B19" s="315" t="s">
        <v>209</v>
      </c>
      <c r="C19" s="312" t="s">
        <v>218</v>
      </c>
      <c r="D19" s="313">
        <f>ROUND((((16.73+17.03)/2)*6.28),2)</f>
        <v>106.01</v>
      </c>
      <c r="E19" s="320"/>
    </row>
    <row r="20" spans="1:5" ht="14.25" customHeight="1">
      <c r="A20" s="317"/>
      <c r="B20" s="315" t="s">
        <v>210</v>
      </c>
      <c r="C20" s="312" t="s">
        <v>224</v>
      </c>
      <c r="D20" s="313">
        <f>ROUND((((115.9+118.32)/2)*6.27),2)</f>
        <v>734.28</v>
      </c>
      <c r="E20" s="320"/>
    </row>
    <row r="21" spans="1:5" ht="14.25" customHeight="1">
      <c r="A21" s="317"/>
      <c r="B21" s="315" t="s">
        <v>211</v>
      </c>
      <c r="C21" s="312" t="s">
        <v>219</v>
      </c>
      <c r="D21" s="313">
        <f>ROUND((((26.55+26.65)/2)*6.45),2)</f>
        <v>171.57</v>
      </c>
      <c r="E21" s="320"/>
    </row>
    <row r="22" spans="1:5" ht="15" customHeight="1">
      <c r="A22" s="317"/>
      <c r="B22" s="315" t="s">
        <v>214</v>
      </c>
      <c r="C22" s="312" t="s">
        <v>221</v>
      </c>
      <c r="D22" s="313">
        <v>218.18</v>
      </c>
      <c r="E22" s="320"/>
    </row>
    <row r="23" spans="1:5" ht="13.5" customHeight="1">
      <c r="A23" s="317"/>
      <c r="B23" s="315" t="s">
        <v>215</v>
      </c>
      <c r="C23" s="312" t="s">
        <v>220</v>
      </c>
      <c r="D23" s="313">
        <f>ROUND((((42.09+43.51)/2)*6.6),2)</f>
        <v>282.48</v>
      </c>
      <c r="E23" s="320"/>
    </row>
    <row r="24" spans="1:5" ht="18" customHeight="1">
      <c r="A24" s="317"/>
      <c r="B24" s="315"/>
      <c r="C24" s="312"/>
      <c r="D24" s="313"/>
      <c r="E24" s="320"/>
    </row>
    <row r="25" spans="1:5" ht="48" customHeight="1">
      <c r="A25" s="329" t="str">
        <f>'Planilha Orçamentaria '!A20</f>
        <v>2.3</v>
      </c>
      <c r="B25" s="330" t="str">
        <f>'Planilha Orçamentaria '!C20</f>
        <v xml:space="preserve">EXECUÇÃO DE BASE DE SOLO ESTABILIZADO GRANULOMETRICAMENTE SEM MISTURA COM PROCTOR INTERMEDIÁRIO, INCLUINDO ESCAVAÇÃO, CARGA, DESCARGA, ESPALHAMENTO E COMPACTAÇÃO DO MATERIAL; EXCLUSIVE AQUISIÇÃO DO MATERIAL (E = 15 CM) </v>
      </c>
      <c r="C25" s="331" t="s">
        <v>272</v>
      </c>
      <c r="D25" s="313">
        <f>SUM(D26:D30)</f>
        <v>302.51</v>
      </c>
      <c r="E25" s="342" t="str">
        <f>Memoria!D19</f>
        <v>M3</v>
      </c>
    </row>
    <row r="26" spans="1:5" ht="14.25" customHeight="1">
      <c r="A26" s="317"/>
      <c r="B26" s="315" t="s">
        <v>209</v>
      </c>
      <c r="C26" s="312" t="s">
        <v>242</v>
      </c>
      <c r="D26" s="313">
        <f>ROUND((((16.73+17.03)/2)*6.28)*0.2,2)</f>
        <v>21.2</v>
      </c>
      <c r="E26" s="320"/>
    </row>
    <row r="27" spans="1:5" ht="13.5" customHeight="1">
      <c r="A27" s="317"/>
      <c r="B27" s="315" t="s">
        <v>210</v>
      </c>
      <c r="C27" s="312" t="s">
        <v>243</v>
      </c>
      <c r="D27" s="313">
        <f>ROUND((((115.9+118.32)/2)*6.27)*0.2,2)</f>
        <v>146.86000000000001</v>
      </c>
      <c r="E27" s="320"/>
    </row>
    <row r="28" spans="1:5" ht="14.25" customHeight="1">
      <c r="A28" s="317"/>
      <c r="B28" s="315" t="s">
        <v>211</v>
      </c>
      <c r="C28" s="312" t="s">
        <v>244</v>
      </c>
      <c r="D28" s="313">
        <f>ROUND((((26.55+26.65)/2)*6.45)*0.2,2)</f>
        <v>34.31</v>
      </c>
      <c r="E28" s="320"/>
    </row>
    <row r="29" spans="1:5" ht="12.75" customHeight="1">
      <c r="A29" s="317"/>
      <c r="B29" s="315" t="s">
        <v>214</v>
      </c>
      <c r="C29" s="312" t="s">
        <v>245</v>
      </c>
      <c r="D29" s="313">
        <f>ROUND((218.18*0.2),2)</f>
        <v>43.64</v>
      </c>
      <c r="E29" s="320"/>
    </row>
    <row r="30" spans="1:5" ht="12" customHeight="1">
      <c r="A30" s="317"/>
      <c r="B30" s="315" t="s">
        <v>215</v>
      </c>
      <c r="C30" s="312" t="s">
        <v>246</v>
      </c>
      <c r="D30" s="313">
        <f>ROUND((((42.09+43.51)/2)*6.6)*0.2,2)</f>
        <v>56.5</v>
      </c>
      <c r="E30" s="320"/>
    </row>
    <row r="31" spans="1:5" ht="17.25" customHeight="1">
      <c r="A31" s="317"/>
      <c r="B31" s="315"/>
      <c r="C31" s="312"/>
      <c r="D31" s="313"/>
      <c r="E31" s="320"/>
    </row>
    <row r="32" spans="1:5" ht="25.5" customHeight="1">
      <c r="A32" s="329" t="str">
        <f>'Planilha Orçamentaria '!A21</f>
        <v>2.4</v>
      </c>
      <c r="B32" s="330" t="str">
        <f>'Planilha Orçamentaria '!C21</f>
        <v>TRANSPORTE DE MATERIAL DE JAZIDA PARA CONSERVAÇÃO. DISTÂNCIA  MÉDIA DE TRANSPORTE DE 15,10 A 20,00 KM</v>
      </c>
      <c r="C32" s="331" t="s">
        <v>252</v>
      </c>
      <c r="D32" s="313">
        <f>SUM(D33:D37)</f>
        <v>3403.16</v>
      </c>
      <c r="E32" s="342" t="str">
        <f>Memoria!D20</f>
        <v>M3XKM</v>
      </c>
    </row>
    <row r="33" spans="1:11" ht="15.75" customHeight="1">
      <c r="A33" s="317"/>
      <c r="B33" s="315" t="s">
        <v>209</v>
      </c>
      <c r="C33" s="312" t="s">
        <v>225</v>
      </c>
      <c r="D33" s="313">
        <f>ROUND(((((16.73+17.03)/2)*6.28)*0.15)*15,2)</f>
        <v>238.51</v>
      </c>
      <c r="E33" s="320"/>
    </row>
    <row r="34" spans="1:11" ht="14.25" customHeight="1">
      <c r="A34" s="317"/>
      <c r="B34" s="315" t="s">
        <v>210</v>
      </c>
      <c r="C34" s="312" t="s">
        <v>238</v>
      </c>
      <c r="D34" s="313">
        <f>ROUND(((((115.9+118.32)/2)*6.27)*0.15)*15,2)</f>
        <v>1652.13</v>
      </c>
      <c r="E34" s="320"/>
    </row>
    <row r="35" spans="1:11" ht="15" customHeight="1">
      <c r="A35" s="317"/>
      <c r="B35" s="315" t="s">
        <v>211</v>
      </c>
      <c r="C35" s="312" t="s">
        <v>239</v>
      </c>
      <c r="D35" s="313">
        <f>ROUND(((((26.55+26.65)/2)*6.45)*0.15)*15,2)</f>
        <v>386.03</v>
      </c>
      <c r="E35" s="320"/>
    </row>
    <row r="36" spans="1:11" ht="13.5" customHeight="1">
      <c r="A36" s="317"/>
      <c r="B36" s="315" t="s">
        <v>214</v>
      </c>
      <c r="C36" s="312" t="s">
        <v>241</v>
      </c>
      <c r="D36" s="313">
        <f>ROUND((218.18*0.15*15),2)</f>
        <v>490.91</v>
      </c>
      <c r="E36" s="320"/>
    </row>
    <row r="37" spans="1:11" ht="14.25" customHeight="1">
      <c r="A37" s="317"/>
      <c r="B37" s="315" t="s">
        <v>215</v>
      </c>
      <c r="C37" s="312" t="s">
        <v>240</v>
      </c>
      <c r="D37" s="313">
        <f>ROUND(((((42.09+43.51)/2)*6.6)*0.15)*15,2)</f>
        <v>635.58000000000004</v>
      </c>
      <c r="E37" s="320"/>
    </row>
    <row r="38" spans="1:11">
      <c r="A38" s="317"/>
      <c r="B38" s="315"/>
      <c r="C38" s="312"/>
      <c r="D38" s="313"/>
      <c r="E38" s="320"/>
    </row>
    <row r="39" spans="1:11" ht="25.5" customHeight="1">
      <c r="A39" s="329" t="str">
        <f>'Planilha Orçamentaria '!A22</f>
        <v>2.5</v>
      </c>
      <c r="B39" s="330" t="str">
        <f>'Planilha Orçamentaria '!C22</f>
        <v>TRANSPORTE DE MATERIAL DE QUALQUER NATUREZA DMT ACIMA DE 40 KM (DMT = 350 KM)</v>
      </c>
      <c r="C39" s="331" t="s">
        <v>273</v>
      </c>
      <c r="D39" s="313">
        <f>SUM(D40:D44)</f>
        <v>94.76</v>
      </c>
      <c r="E39" s="342" t="str">
        <f>Memoria!D22</f>
        <v>TXKM</v>
      </c>
      <c r="G39" s="328">
        <f>1*0.0012</f>
        <v>1.1999999999999999E-3</v>
      </c>
      <c r="H39" s="328" t="s">
        <v>22</v>
      </c>
    </row>
    <row r="40" spans="1:11" ht="25.5" customHeight="1">
      <c r="A40" s="317"/>
      <c r="B40" s="326" t="s">
        <v>209</v>
      </c>
      <c r="C40" s="327" t="s">
        <v>247</v>
      </c>
      <c r="D40" s="313">
        <f>ROUND((((((16.73+17.03)/2)*6.28)*0.0012)*40)+(((((16.73+17.03)/2)*6.28)*0.0004)*40),2)</f>
        <v>6.78</v>
      </c>
      <c r="E40" s="320"/>
    </row>
    <row r="41" spans="1:11" ht="26.25" customHeight="1">
      <c r="A41" s="317"/>
      <c r="B41" s="315" t="s">
        <v>210</v>
      </c>
      <c r="C41" s="327" t="s">
        <v>248</v>
      </c>
      <c r="D41" s="313">
        <f>ROUND(((((((115.9+118.32)/2)*6.27)*0.0012)*40)+((((((115.9+118.32)/2)*(6.27-0.6))*0.0004)*40))),2)</f>
        <v>45.87</v>
      </c>
      <c r="E41" s="320"/>
      <c r="G41" s="328" t="s">
        <v>235</v>
      </c>
      <c r="H41" s="328" t="s">
        <v>236</v>
      </c>
      <c r="J41">
        <f>20*0.0012</f>
        <v>2.3999999999999997E-2</v>
      </c>
      <c r="K41" s="328" t="s">
        <v>237</v>
      </c>
    </row>
    <row r="42" spans="1:11" ht="28.5" customHeight="1">
      <c r="A42" s="317"/>
      <c r="B42" s="315" t="s">
        <v>211</v>
      </c>
      <c r="C42" s="327" t="s">
        <v>251</v>
      </c>
      <c r="D42" s="313">
        <f>ROUND((((((26.55+26.65)/2)*6.45)*0.0012)*40)+(((((26.55+26.65)/2)*(6.45-0.6)*0.0004)*40)),2)</f>
        <v>10.73</v>
      </c>
      <c r="E42" s="320"/>
    </row>
    <row r="43" spans="1:11" ht="38.25" customHeight="1">
      <c r="A43" s="317"/>
      <c r="B43" s="315" t="s">
        <v>214</v>
      </c>
      <c r="C43" s="327" t="s">
        <v>249</v>
      </c>
      <c r="D43" s="313">
        <f>ROUND(((218.18*0.0012*40)+202.49*0.0004*40),2)</f>
        <v>13.71</v>
      </c>
      <c r="E43" s="320"/>
    </row>
    <row r="44" spans="1:11" ht="26.25" customHeight="1">
      <c r="A44" s="317"/>
      <c r="B44" s="315" t="s">
        <v>215</v>
      </c>
      <c r="C44" s="327" t="s">
        <v>250</v>
      </c>
      <c r="D44" s="313">
        <f>ROUND(((((42.09+43.51)/2)*6.6*0.0012)*40)+((((42.09+43.51)/2)*(6.6-0.6)*0.0004)*40),2)</f>
        <v>17.670000000000002</v>
      </c>
      <c r="E44" s="320"/>
    </row>
    <row r="45" spans="1:11" ht="14.25" customHeight="1">
      <c r="A45" s="317"/>
      <c r="B45" s="315"/>
      <c r="C45" s="312"/>
      <c r="D45" s="313"/>
      <c r="E45" s="320"/>
    </row>
    <row r="46" spans="1:11" ht="25.5" customHeight="1">
      <c r="A46" s="329" t="str">
        <f>'Planilha Orçamentaria '!A23</f>
        <v>2.6</v>
      </c>
      <c r="B46" s="330" t="str">
        <f>'Planilha Orçamentaria '!C23</f>
        <v>IMPRIMAÇÃO (EXECUÇÃO E FORNECIMENTO DO MATERIAL BETUMINOSO, EXCLUSIVE TRANSPORTE DO MATERIAL BETUMINOSO)</v>
      </c>
      <c r="C46" s="331" t="s">
        <v>223</v>
      </c>
      <c r="D46" s="313">
        <f>SUM(D47:D51)</f>
        <v>1512.52</v>
      </c>
      <c r="E46" s="342" t="str">
        <f>Memoria!D23</f>
        <v>M2</v>
      </c>
    </row>
    <row r="47" spans="1:11" ht="12" customHeight="1">
      <c r="A47" s="317"/>
      <c r="B47" s="315" t="s">
        <v>209</v>
      </c>
      <c r="C47" s="312" t="s">
        <v>218</v>
      </c>
      <c r="D47" s="313">
        <f>ROUND((((16.73+17.03)/2)*6.28),2)</f>
        <v>106.01</v>
      </c>
      <c r="E47" s="320"/>
    </row>
    <row r="48" spans="1:11" ht="12.75" customHeight="1">
      <c r="A48" s="317"/>
      <c r="B48" s="315" t="s">
        <v>210</v>
      </c>
      <c r="C48" s="312" t="s">
        <v>224</v>
      </c>
      <c r="D48" s="313">
        <f>ROUND((((115.9+118.32)/2)*6.27),2)</f>
        <v>734.28</v>
      </c>
      <c r="E48" s="320"/>
    </row>
    <row r="49" spans="1:5" ht="13.5" customHeight="1">
      <c r="A49" s="317"/>
      <c r="B49" s="315" t="s">
        <v>211</v>
      </c>
      <c r="C49" s="312" t="s">
        <v>219</v>
      </c>
      <c r="D49" s="313">
        <f>ROUND((((26.55+26.65)/2)*6.45),2)</f>
        <v>171.57</v>
      </c>
      <c r="E49" s="320"/>
    </row>
    <row r="50" spans="1:5" ht="12.75" customHeight="1">
      <c r="A50" s="317"/>
      <c r="B50" s="315" t="s">
        <v>214</v>
      </c>
      <c r="C50" s="312" t="s">
        <v>221</v>
      </c>
      <c r="D50" s="313">
        <v>218.18</v>
      </c>
      <c r="E50" s="320"/>
    </row>
    <row r="51" spans="1:5" ht="12" customHeight="1">
      <c r="A51" s="317"/>
      <c r="B51" s="315" t="s">
        <v>215</v>
      </c>
      <c r="C51" s="312" t="s">
        <v>220</v>
      </c>
      <c r="D51" s="313">
        <f>ROUND((((42.09+43.51)/2)*6.6),2)</f>
        <v>282.48</v>
      </c>
      <c r="E51" s="320"/>
    </row>
    <row r="52" spans="1:5" ht="13.5" customHeight="1">
      <c r="A52" s="317"/>
      <c r="B52" s="315"/>
      <c r="C52" s="312"/>
      <c r="D52" s="310"/>
      <c r="E52" s="320"/>
    </row>
    <row r="53" spans="1:5" ht="25.5" customHeight="1">
      <c r="A53" s="329" t="str">
        <f>'Planilha Orçamentaria '!A24</f>
        <v>2.7</v>
      </c>
      <c r="B53" s="330" t="str">
        <f>'Planilha Orçamentaria '!C24</f>
        <v>PINTURA DE LIGAÇÃO (EXECUÇÃO E FORNECIMENTO DO MATERIAL BETUMINOSO, EXCLUSIVE TRANSPORTE DO MATERIAL BETUMINOSO)</v>
      </c>
      <c r="C53" s="331" t="s">
        <v>265</v>
      </c>
      <c r="D53" s="313">
        <f>SUM(D54:D58)</f>
        <v>1374.79</v>
      </c>
      <c r="E53" s="342" t="str">
        <f>Memoria!D24</f>
        <v>M2</v>
      </c>
    </row>
    <row r="54" spans="1:5" ht="14.25" customHeight="1">
      <c r="A54" s="317"/>
      <c r="B54" s="315" t="s">
        <v>209</v>
      </c>
      <c r="C54" s="312" t="s">
        <v>226</v>
      </c>
      <c r="D54" s="313">
        <f>ROUND((((16.73+17.03)/2)*(6.28-0.6)),2)</f>
        <v>95.88</v>
      </c>
      <c r="E54" s="320"/>
    </row>
    <row r="55" spans="1:5" ht="12" customHeight="1">
      <c r="A55" s="317"/>
      <c r="B55" s="315" t="s">
        <v>210</v>
      </c>
      <c r="C55" s="312" t="s">
        <v>227</v>
      </c>
      <c r="D55" s="313">
        <f>ROUND((((115.9+118.32)/2)*(6.27-0.6)),2)</f>
        <v>664.01</v>
      </c>
      <c r="E55" s="320"/>
    </row>
    <row r="56" spans="1:5" ht="13.5" customHeight="1">
      <c r="A56" s="317"/>
      <c r="B56" s="315" t="s">
        <v>211</v>
      </c>
      <c r="C56" s="312" t="s">
        <v>228</v>
      </c>
      <c r="D56" s="313">
        <f>ROUND((((26.55+26.65)/2)*(6.45-0.6)),2)</f>
        <v>155.61000000000001</v>
      </c>
      <c r="E56" s="320"/>
    </row>
    <row r="57" spans="1:5" ht="13.5" customHeight="1">
      <c r="A57" s="317"/>
      <c r="B57" s="315" t="s">
        <v>214</v>
      </c>
      <c r="C57" s="312" t="s">
        <v>230</v>
      </c>
      <c r="D57" s="313">
        <v>202.49</v>
      </c>
      <c r="E57" s="320"/>
    </row>
    <row r="58" spans="1:5" ht="12.75" customHeight="1">
      <c r="A58" s="317"/>
      <c r="B58" s="315" t="s">
        <v>215</v>
      </c>
      <c r="C58" s="312" t="s">
        <v>229</v>
      </c>
      <c r="D58" s="313">
        <f>ROUND((((42.09+43.51)/2)*(6.6-0.6)),2)</f>
        <v>256.8</v>
      </c>
      <c r="E58" s="320"/>
    </row>
    <row r="59" spans="1:5" ht="15.75" customHeight="1">
      <c r="A59" s="317"/>
      <c r="B59" s="315"/>
      <c r="C59" s="312"/>
      <c r="D59" s="310"/>
      <c r="E59" s="320"/>
    </row>
    <row r="60" spans="1:5" ht="60.75" customHeight="1">
      <c r="A60" s="329" t="str">
        <f>'Planilha Orçamentaria '!A25</f>
        <v>2.8</v>
      </c>
      <c r="B60" s="330" t="str">
        <f>'Planilha Orçamentaria '!C25</f>
        <v>CONCRETO BETUMINOSO USINADO AQUENTE- CBUQ (EXECUÇÃO, INCLUINDO USINAGEM, APLICAÇÃO, ESPALHAMENTO E COMPACTAÇÃO, FORNECIMENTO DOS AGREGADOS E MATERIAL BETUMINOSO, EXCLUI TRANSPORTE DOS AGREGADOS E DO MATERIAL BETUMINOSO ATÉ USINA E DA MASSA PRONTA ATÉ A PISTA)</v>
      </c>
      <c r="C60" s="331" t="s">
        <v>232</v>
      </c>
      <c r="D60" s="313">
        <f>SUM(D61:D65)</f>
        <v>54.989999999999995</v>
      </c>
      <c r="E60" s="342" t="str">
        <f>Memoria!D25</f>
        <v>M3</v>
      </c>
    </row>
    <row r="61" spans="1:5" ht="13.5" customHeight="1">
      <c r="A61" s="317"/>
      <c r="B61" s="315" t="s">
        <v>209</v>
      </c>
      <c r="C61" s="312" t="s">
        <v>226</v>
      </c>
      <c r="D61" s="313">
        <f>ROUND((((16.73+17.03)/2)*(6.28-0.6))*0.04,2)</f>
        <v>3.84</v>
      </c>
      <c r="E61" s="320"/>
    </row>
    <row r="62" spans="1:5" ht="12.75" customHeight="1">
      <c r="A62" s="317"/>
      <c r="B62" s="315" t="s">
        <v>210</v>
      </c>
      <c r="C62" s="312" t="s">
        <v>227</v>
      </c>
      <c r="D62" s="313">
        <f>ROUND((((115.9+118.32)/2)*(6.27-0.6))*0.04,2)</f>
        <v>26.56</v>
      </c>
      <c r="E62" s="320"/>
    </row>
    <row r="63" spans="1:5" ht="13.5" customHeight="1">
      <c r="A63" s="317"/>
      <c r="B63" s="315" t="s">
        <v>211</v>
      </c>
      <c r="C63" s="312" t="s">
        <v>228</v>
      </c>
      <c r="D63" s="313">
        <f>ROUND((((26.55+26.65)/2)*(6.45-0.6))*0.04,2)</f>
        <v>6.22</v>
      </c>
      <c r="E63" s="320"/>
    </row>
    <row r="64" spans="1:5" ht="12" customHeight="1">
      <c r="A64" s="317"/>
      <c r="B64" s="315" t="s">
        <v>214</v>
      </c>
      <c r="C64" s="312" t="s">
        <v>230</v>
      </c>
      <c r="D64" s="313">
        <f>ROUND(202.49*0.04,2)</f>
        <v>8.1</v>
      </c>
      <c r="E64" s="320"/>
    </row>
    <row r="65" spans="1:5" ht="13.5" customHeight="1">
      <c r="A65" s="317"/>
      <c r="B65" s="315" t="s">
        <v>215</v>
      </c>
      <c r="C65" s="312" t="s">
        <v>229</v>
      </c>
      <c r="D65" s="313">
        <f>ROUND((((42.09+43.51)/2)*(6.6-0.6))*0.04,2)</f>
        <v>10.27</v>
      </c>
      <c r="E65" s="320"/>
    </row>
    <row r="66" spans="1:5" ht="13.5" customHeight="1">
      <c r="A66" s="317"/>
      <c r="B66" s="315"/>
      <c r="C66" s="312"/>
      <c r="D66" s="310"/>
      <c r="E66" s="320"/>
    </row>
    <row r="67" spans="1:5" ht="26.25" customHeight="1">
      <c r="A67" s="329" t="str">
        <f>'Planilha Orçamentaria '!A26</f>
        <v>2.9</v>
      </c>
      <c r="B67" s="332" t="s">
        <v>231</v>
      </c>
      <c r="C67" s="331" t="s">
        <v>233</v>
      </c>
      <c r="D67" s="313">
        <f>SUM(D68:D72)</f>
        <v>2199.67</v>
      </c>
      <c r="E67" s="320" t="str">
        <f>Memoria!D26</f>
        <v>M3XKM</v>
      </c>
    </row>
    <row r="68" spans="1:5" ht="13.5" customHeight="1">
      <c r="A68" s="317"/>
      <c r="B68" s="315" t="s">
        <v>209</v>
      </c>
      <c r="C68" s="312" t="s">
        <v>266</v>
      </c>
      <c r="D68" s="313">
        <f>ROUND(((((16.73+17.03)/2)*(6.28-0.6))*0.04)*40,2)</f>
        <v>153.41</v>
      </c>
      <c r="E68" s="320"/>
    </row>
    <row r="69" spans="1:5" ht="13.5" customHeight="1">
      <c r="A69" s="317"/>
      <c r="B69" s="315" t="s">
        <v>210</v>
      </c>
      <c r="C69" s="312" t="s">
        <v>267</v>
      </c>
      <c r="D69" s="313">
        <f>ROUND(((((115.9+118.32)/2)*(6.27-0.6))*0.04)*40,2)</f>
        <v>1062.42</v>
      </c>
      <c r="E69" s="320"/>
    </row>
    <row r="70" spans="1:5" ht="13.5" customHeight="1">
      <c r="A70" s="317"/>
      <c r="B70" s="315" t="s">
        <v>211</v>
      </c>
      <c r="C70" s="312" t="s">
        <v>270</v>
      </c>
      <c r="D70" s="313">
        <f>ROUND(((((26.55+26.65)/2)*(6.45-0.6))*0.04)*40,2)</f>
        <v>248.98</v>
      </c>
      <c r="E70" s="320"/>
    </row>
    <row r="71" spans="1:5" ht="13.5" customHeight="1">
      <c r="A71" s="317"/>
      <c r="B71" s="315" t="s">
        <v>214</v>
      </c>
      <c r="C71" s="312" t="s">
        <v>268</v>
      </c>
      <c r="D71" s="313">
        <f>ROUND(202.49*0.04*40,2)</f>
        <v>323.98</v>
      </c>
      <c r="E71" s="320"/>
    </row>
    <row r="72" spans="1:5" ht="13.5" customHeight="1">
      <c r="A72" s="317"/>
      <c r="B72" s="315" t="s">
        <v>215</v>
      </c>
      <c r="C72" s="312" t="s">
        <v>269</v>
      </c>
      <c r="D72" s="313">
        <f>ROUND(((((42.09+43.51)/2)*(6.6-0.6))*0.04)*40,2)</f>
        <v>410.88</v>
      </c>
      <c r="E72" s="320"/>
    </row>
    <row r="73" spans="1:5" ht="12.75" customHeight="1">
      <c r="A73" s="317"/>
      <c r="B73" s="315"/>
      <c r="C73" s="312"/>
      <c r="D73" s="310"/>
      <c r="E73" s="320"/>
    </row>
    <row r="74" spans="1:5" ht="15">
      <c r="A74" s="345">
        <f>'Planilha Orçamentaria '!A28</f>
        <v>3</v>
      </c>
      <c r="B74" s="314" t="str">
        <f>'Planilha Orçamentaria '!C28</f>
        <v xml:space="preserve">URBANIZAÇÃO E OBRAS COMPLEMENTARES                          </v>
      </c>
      <c r="C74" s="311"/>
      <c r="D74" s="308"/>
      <c r="E74" s="309"/>
    </row>
    <row r="75" spans="1:5" ht="36.75" customHeight="1">
      <c r="A75" s="301" t="str">
        <f>'Planilha Orçamentaria '!A29</f>
        <v>3.1</v>
      </c>
      <c r="B75" s="333" t="str">
        <f>'Planilha Orçamentaria '!C29</f>
        <v>MEIO-FIO COM SARJETA, EXECUTADO C/EXTRUSORA (SARJETA 30X8CM MEIO-FIO 15X10CM X H=23CM), INCLUI ESCAVAÇÃO E ACERTO FAIXA 0,45M</v>
      </c>
      <c r="C75" s="331" t="s">
        <v>263</v>
      </c>
      <c r="D75" s="313">
        <f>SUM(D76:D80)</f>
        <v>458.87</v>
      </c>
      <c r="E75" s="301" t="s">
        <v>51</v>
      </c>
    </row>
    <row r="76" spans="1:5" ht="12.75" customHeight="1">
      <c r="A76" s="318"/>
      <c r="B76" s="315" t="s">
        <v>209</v>
      </c>
      <c r="C76" s="312" t="s">
        <v>258</v>
      </c>
      <c r="D76" s="310">
        <f>16.7+17</f>
        <v>33.700000000000003</v>
      </c>
      <c r="E76" s="324"/>
    </row>
    <row r="77" spans="1:5" ht="13.5" customHeight="1">
      <c r="A77" s="318"/>
      <c r="B77" s="315" t="s">
        <v>210</v>
      </c>
      <c r="C77" s="312" t="s">
        <v>259</v>
      </c>
      <c r="D77" s="310">
        <f>115.9+118.3</f>
        <v>234.2</v>
      </c>
      <c r="E77" s="324"/>
    </row>
    <row r="78" spans="1:5" ht="14.25" customHeight="1">
      <c r="A78" s="318"/>
      <c r="B78" s="315" t="s">
        <v>211</v>
      </c>
      <c r="C78" s="312" t="s">
        <v>262</v>
      </c>
      <c r="D78" s="310">
        <f>26.55+26.63</f>
        <v>53.18</v>
      </c>
      <c r="E78" s="324"/>
    </row>
    <row r="79" spans="1:5" ht="13.5" customHeight="1">
      <c r="A79" s="318"/>
      <c r="B79" s="315" t="s">
        <v>214</v>
      </c>
      <c r="C79" s="312" t="s">
        <v>261</v>
      </c>
      <c r="D79" s="310">
        <f>12.5+25.2+14.5</f>
        <v>52.2</v>
      </c>
      <c r="E79" s="324"/>
    </row>
    <row r="80" spans="1:5" ht="12.75" customHeight="1">
      <c r="A80" s="318"/>
      <c r="B80" s="315" t="s">
        <v>215</v>
      </c>
      <c r="C80" s="312" t="s">
        <v>260</v>
      </c>
      <c r="D80" s="310">
        <f>42.09+43.5</f>
        <v>85.59</v>
      </c>
      <c r="E80" s="324"/>
    </row>
    <row r="81" spans="1:5" ht="13.5" customHeight="1">
      <c r="A81" s="318"/>
      <c r="B81" s="307"/>
      <c r="C81" s="312"/>
      <c r="D81" s="310"/>
      <c r="E81" s="324"/>
    </row>
    <row r="82" spans="1:5" ht="35.25" customHeight="1">
      <c r="A82" s="301" t="str">
        <f>'Planilha Orçamentaria '!A30</f>
        <v>3.2</v>
      </c>
      <c r="B82" s="333" t="str">
        <f>'Planilha Orçamentaria '!C30</f>
        <v>LINHAS D ERESINA ACRILICA0, 6MM DE ESPESSURA E LARGURA = 0,30M (EXECUÇÃO, INCLUSIVEPRÉ - MARCAÇÃO, FORNECIMENTO E TRANSPORTE DE TODOS OS MATERIAIS)</v>
      </c>
      <c r="C82" s="331" t="s">
        <v>264</v>
      </c>
      <c r="D82" s="313">
        <f>SUM(D83:D87)</f>
        <v>146.30000000000001</v>
      </c>
      <c r="E82" s="301" t="s">
        <v>51</v>
      </c>
    </row>
    <row r="83" spans="1:5" ht="12.75" customHeight="1">
      <c r="A83" s="318"/>
      <c r="B83" s="315" t="s">
        <v>209</v>
      </c>
      <c r="C83" s="312" t="s">
        <v>254</v>
      </c>
      <c r="D83" s="310">
        <f>10*3+(6.28-0.6)</f>
        <v>35.68</v>
      </c>
      <c r="E83" s="324"/>
    </row>
    <row r="84" spans="1:5">
      <c r="A84" s="318"/>
      <c r="B84" s="315" t="s">
        <v>210</v>
      </c>
      <c r="C84" s="312" t="s">
        <v>255</v>
      </c>
      <c r="D84" s="310">
        <f>30+(6.37-0.6)</f>
        <v>35.770000000000003</v>
      </c>
      <c r="E84" s="324"/>
    </row>
    <row r="85" spans="1:5" ht="14.25" customHeight="1">
      <c r="A85" s="318"/>
      <c r="B85" s="315" t="s">
        <v>211</v>
      </c>
      <c r="C85" s="312" t="s">
        <v>256</v>
      </c>
      <c r="D85" s="310">
        <f>10*3+(6.45-0.6)</f>
        <v>35.85</v>
      </c>
      <c r="E85" s="324"/>
    </row>
    <row r="86" spans="1:5" ht="14.25" customHeight="1">
      <c r="A86" s="318"/>
      <c r="B86" s="315" t="s">
        <v>214</v>
      </c>
      <c r="C86" s="312"/>
      <c r="D86" s="310"/>
      <c r="E86" s="324"/>
    </row>
    <row r="87" spans="1:5" ht="12" customHeight="1">
      <c r="A87" s="318"/>
      <c r="B87" s="315" t="s">
        <v>215</v>
      </c>
      <c r="C87" s="312" t="s">
        <v>257</v>
      </c>
      <c r="D87" s="310">
        <f>11*3+(6.6-0.6)</f>
        <v>39</v>
      </c>
      <c r="E87" s="324"/>
    </row>
    <row r="88" spans="1:5" ht="12" customHeight="1">
      <c r="A88" s="318"/>
      <c r="B88" s="307"/>
      <c r="C88" s="312"/>
      <c r="D88" s="310"/>
      <c r="E88" s="324"/>
    </row>
    <row r="89" spans="1:5" ht="24.75" customHeight="1">
      <c r="A89" s="301" t="str">
        <f>'Planilha Orçamentaria '!A31</f>
        <v>3.3</v>
      </c>
      <c r="B89" s="333" t="str">
        <f>'Planilha Orçamentaria '!C31</f>
        <v>RAMPA PARA ACESSO DE DEFICIENTE, EM CONCRETO SIMPLES FCK = 25 MPA, DESEMPENADA, COM PINTURA INDICATIVA, 02 DEMÃOS</v>
      </c>
      <c r="C89" s="331" t="s">
        <v>253</v>
      </c>
      <c r="D89" s="310">
        <v>9</v>
      </c>
      <c r="E89" s="342" t="str">
        <f>Memoria!D30</f>
        <v>und</v>
      </c>
    </row>
    <row r="90" spans="1:5" ht="12.75" customHeight="1">
      <c r="A90" s="318"/>
      <c r="B90" s="315" t="s">
        <v>209</v>
      </c>
      <c r="C90" s="312">
        <v>2</v>
      </c>
      <c r="D90" s="310">
        <v>2</v>
      </c>
      <c r="E90" s="324"/>
    </row>
    <row r="91" spans="1:5" ht="12.75" customHeight="1">
      <c r="A91" s="318"/>
      <c r="B91" s="315" t="s">
        <v>210</v>
      </c>
      <c r="C91" s="312">
        <v>2</v>
      </c>
      <c r="D91" s="310">
        <v>2</v>
      </c>
      <c r="E91" s="324"/>
    </row>
    <row r="92" spans="1:5" ht="13.5" customHeight="1">
      <c r="A92" s="318"/>
      <c r="B92" s="315" t="s">
        <v>211</v>
      </c>
      <c r="C92" s="312">
        <v>2</v>
      </c>
      <c r="D92" s="310">
        <v>2</v>
      </c>
      <c r="E92" s="324"/>
    </row>
    <row r="93" spans="1:5" ht="14.25" customHeight="1">
      <c r="A93" s="318"/>
      <c r="B93" s="315" t="s">
        <v>214</v>
      </c>
      <c r="C93" s="312"/>
      <c r="D93" s="310"/>
      <c r="E93" s="324"/>
    </row>
    <row r="94" spans="1:5" ht="12" customHeight="1">
      <c r="A94" s="318"/>
      <c r="B94" s="315" t="s">
        <v>215</v>
      </c>
      <c r="C94" s="312">
        <v>3</v>
      </c>
      <c r="D94" s="310">
        <v>3</v>
      </c>
      <c r="E94" s="324"/>
    </row>
    <row r="95" spans="1:5" ht="12" customHeight="1">
      <c r="A95" s="318"/>
      <c r="B95" s="307"/>
      <c r="C95" s="312"/>
      <c r="D95" s="310"/>
      <c r="E95" s="324"/>
    </row>
    <row r="96" spans="1:5" ht="12.75" customHeight="1">
      <c r="A96" s="318"/>
      <c r="B96" s="307"/>
      <c r="C96" s="312"/>
      <c r="D96" s="313"/>
      <c r="E96" s="320"/>
    </row>
    <row r="99" spans="2:6">
      <c r="B99" s="356"/>
      <c r="C99" s="356"/>
      <c r="D99" s="1"/>
      <c r="E99" s="362"/>
      <c r="F99" s="357"/>
    </row>
    <row r="100" spans="2:6">
      <c r="B100" s="354" t="s">
        <v>16</v>
      </c>
      <c r="C100" s="354"/>
      <c r="D100" s="2"/>
      <c r="E100" s="355"/>
      <c r="F100" s="355"/>
    </row>
    <row r="101" spans="2:6">
      <c r="B101" s="224"/>
      <c r="C101" s="224"/>
      <c r="D101" s="2"/>
      <c r="E101" s="5"/>
      <c r="F101" s="5"/>
    </row>
    <row r="103" spans="2:6">
      <c r="B103" s="356"/>
      <c r="C103" s="356"/>
      <c r="D103" s="1"/>
      <c r="E103" s="357"/>
      <c r="F103" s="357"/>
    </row>
    <row r="104" spans="2:6">
      <c r="B104" s="358" t="s">
        <v>17</v>
      </c>
      <c r="C104" s="358"/>
      <c r="D104" s="2"/>
      <c r="E104" s="355"/>
      <c r="F104" s="355"/>
    </row>
  </sheetData>
  <mergeCells count="14">
    <mergeCell ref="A1:E1"/>
    <mergeCell ref="D6:E6"/>
    <mergeCell ref="B99:C99"/>
    <mergeCell ref="E99:F99"/>
    <mergeCell ref="A4:E4"/>
    <mergeCell ref="A3:E3"/>
    <mergeCell ref="A2:E2"/>
    <mergeCell ref="A5:E5"/>
    <mergeCell ref="B100:C100"/>
    <mergeCell ref="E100:F100"/>
    <mergeCell ref="B103:C103"/>
    <mergeCell ref="E103:F103"/>
    <mergeCell ref="B104:C104"/>
    <mergeCell ref="E104:F104"/>
  </mergeCells>
  <pageMargins left="0.51181102362204722" right="0.51181102362204722" top="0.78740157480314965" bottom="0.78740157480314965" header="0.31496062992125984" footer="0.31496062992125984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43"/>
  <sheetViews>
    <sheetView view="pageBreakPreview" topLeftCell="A21" zoomScale="85" zoomScaleSheetLayoutView="85" workbookViewId="0">
      <selection activeCell="B29" sqref="B29:C29"/>
    </sheetView>
  </sheetViews>
  <sheetFormatPr defaultRowHeight="15"/>
  <cols>
    <col min="1" max="1" width="9.28515625" style="94" bestFit="1" customWidth="1"/>
    <col min="2" max="2" width="61.85546875" style="94" customWidth="1"/>
    <col min="3" max="3" width="9.140625" style="94"/>
    <col min="4" max="4" width="9.28515625" style="94" bestFit="1" customWidth="1"/>
    <col min="5" max="5" width="9.7109375" style="94" bestFit="1" customWidth="1"/>
    <col min="6" max="6" width="9.28515625" style="94" bestFit="1" customWidth="1"/>
    <col min="7" max="7" width="14.7109375" style="94" customWidth="1"/>
    <col min="8" max="8" width="9.42578125" style="94" bestFit="1" customWidth="1"/>
    <col min="9" max="9" width="9.140625" style="94" customWidth="1"/>
    <col min="10" max="10" width="9.140625" style="94"/>
    <col min="11" max="11" width="9.42578125" style="94" bestFit="1" customWidth="1"/>
    <col min="12" max="12" width="9.140625" style="94"/>
    <col min="13" max="13" width="14.85546875" style="94" customWidth="1"/>
    <col min="14" max="14" width="9.42578125" style="94" bestFit="1" customWidth="1"/>
    <col min="15" max="15" width="13.7109375" style="94" customWidth="1"/>
    <col min="16" max="16" width="9.140625" style="94"/>
    <col min="17" max="17" width="10.28515625" style="94" bestFit="1" customWidth="1"/>
    <col min="18" max="16384" width="9.140625" style="94"/>
  </cols>
  <sheetData>
    <row r="1" spans="1:15">
      <c r="A1" s="90"/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3"/>
    </row>
    <row r="2" spans="1:15" ht="20.25">
      <c r="A2" s="95"/>
      <c r="B2" s="373" t="s">
        <v>74</v>
      </c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100"/>
      <c r="N2" s="100"/>
      <c r="O2" s="102"/>
    </row>
    <row r="3" spans="1:15" ht="20.25">
      <c r="A3" s="95"/>
      <c r="B3" s="373" t="s">
        <v>75</v>
      </c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100"/>
      <c r="N3" s="100"/>
      <c r="O3" s="102"/>
    </row>
    <row r="4" spans="1:15">
      <c r="A4" s="95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2"/>
    </row>
    <row r="5" spans="1:15">
      <c r="A5" s="374"/>
      <c r="B5" s="375"/>
      <c r="C5" s="375"/>
      <c r="D5" s="375"/>
      <c r="E5" s="375"/>
      <c r="F5" s="375"/>
      <c r="G5" s="375"/>
      <c r="H5" s="375"/>
      <c r="I5" s="375"/>
      <c r="J5" s="375"/>
      <c r="K5" s="375"/>
      <c r="L5" s="375"/>
      <c r="M5" s="375"/>
      <c r="N5" s="375"/>
      <c r="O5" s="376"/>
    </row>
    <row r="6" spans="1:15" ht="15" customHeight="1">
      <c r="A6" s="183"/>
      <c r="B6" s="371" t="s">
        <v>76</v>
      </c>
      <c r="C6" s="371"/>
      <c r="D6" s="371"/>
      <c r="E6" s="371"/>
      <c r="F6" s="371"/>
      <c r="G6" s="371"/>
      <c r="H6" s="371"/>
      <c r="I6" s="371"/>
      <c r="J6" s="371"/>
      <c r="K6" s="371"/>
      <c r="L6" s="371"/>
      <c r="M6" s="371"/>
      <c r="N6" s="371"/>
      <c r="O6" s="372"/>
    </row>
    <row r="7" spans="1:15">
      <c r="A7" s="183"/>
      <c r="B7" s="186" t="str">
        <f>'Relação de Ruas a Pavimentar'!B7:J7</f>
        <v>Municipio: Rua Arlindo Paiva de Oliveira e Rua João Coelho, Bairro Alvorada - Pains</v>
      </c>
      <c r="C7" s="187"/>
      <c r="D7" s="187"/>
      <c r="E7" s="184"/>
      <c r="F7" s="184"/>
      <c r="G7" s="184"/>
      <c r="H7" s="184"/>
      <c r="I7" s="184"/>
      <c r="J7" s="184"/>
      <c r="K7" s="184"/>
      <c r="L7" s="184"/>
      <c r="M7" s="184"/>
      <c r="N7" s="184"/>
      <c r="O7" s="185"/>
    </row>
    <row r="8" spans="1:15" ht="15.75" thickBot="1">
      <c r="A8" s="188"/>
      <c r="B8" s="189"/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1"/>
    </row>
    <row r="9" spans="1:15" ht="18.75" thickBot="1">
      <c r="A9" s="377" t="s">
        <v>113</v>
      </c>
      <c r="B9" s="378"/>
      <c r="C9" s="378"/>
      <c r="D9" s="378"/>
      <c r="E9" s="378"/>
      <c r="F9" s="378"/>
      <c r="G9" s="378"/>
      <c r="H9" s="378"/>
      <c r="I9" s="378"/>
      <c r="J9" s="378"/>
      <c r="K9" s="378"/>
      <c r="L9" s="378"/>
      <c r="M9" s="378"/>
      <c r="N9" s="378"/>
      <c r="O9" s="379"/>
    </row>
    <row r="10" spans="1:15">
      <c r="A10" s="192"/>
      <c r="B10" s="189"/>
      <c r="C10" s="190"/>
      <c r="D10" s="190"/>
      <c r="E10" s="190"/>
      <c r="F10" s="190"/>
      <c r="G10" s="190"/>
      <c r="H10" s="190"/>
      <c r="I10" s="190"/>
      <c r="J10" s="190"/>
      <c r="K10" s="190"/>
      <c r="L10" s="190"/>
      <c r="M10" s="190"/>
      <c r="N10" s="190"/>
      <c r="O10" s="191"/>
    </row>
    <row r="11" spans="1:15" ht="26.25" thickBot="1">
      <c r="A11" s="103" t="s">
        <v>0</v>
      </c>
      <c r="B11" s="380" t="s">
        <v>114</v>
      </c>
      <c r="C11" s="381"/>
      <c r="D11" s="193" t="s">
        <v>3</v>
      </c>
      <c r="E11" s="193" t="s">
        <v>115</v>
      </c>
      <c r="F11" s="193" t="s">
        <v>116</v>
      </c>
      <c r="G11" s="193" t="s">
        <v>117</v>
      </c>
      <c r="H11" s="193" t="s">
        <v>118</v>
      </c>
      <c r="I11" s="193" t="s">
        <v>28</v>
      </c>
      <c r="J11" s="193" t="s">
        <v>119</v>
      </c>
      <c r="K11" s="193" t="s">
        <v>120</v>
      </c>
      <c r="L11" s="193" t="s">
        <v>121</v>
      </c>
      <c r="M11" s="193" t="s">
        <v>122</v>
      </c>
      <c r="N11" s="193" t="s">
        <v>123</v>
      </c>
      <c r="O11" s="194" t="s">
        <v>124</v>
      </c>
    </row>
    <row r="12" spans="1:15" ht="13.5" customHeight="1" thickBot="1">
      <c r="A12" s="195" t="s">
        <v>125</v>
      </c>
      <c r="B12" s="369" t="s">
        <v>126</v>
      </c>
      <c r="C12" s="370"/>
      <c r="D12" s="196"/>
      <c r="E12" s="196"/>
      <c r="F12" s="196"/>
      <c r="G12" s="196"/>
      <c r="H12" s="196"/>
      <c r="I12" s="196"/>
      <c r="J12" s="196"/>
      <c r="K12" s="196"/>
      <c r="L12" s="196"/>
      <c r="M12" s="196"/>
      <c r="N12" s="196"/>
      <c r="O12" s="197"/>
    </row>
    <row r="13" spans="1:15" ht="37.5" customHeight="1" thickBot="1">
      <c r="A13" s="198" t="s">
        <v>23</v>
      </c>
      <c r="B13" s="367" t="str">
        <f>'Planilha Orçamentaria '!C14</f>
        <v>FORNECIMENTO E COLOCAÇÃO DE PLACA DE OBRA EM CHAPA GALVANIZADA (3,00 X 1,5 0 M) - EM CHAPA GALVANIZADA 0,26 AFIXADAS COM REBITES 540 E PARAFUSOS 3/8, EM ESTRUTURA METÁLICA VIGA U 2" ENRIJECIDA COM METALON 20 X 20, SUPORTE EM EUCALIPTO AUTOCLAVADO PINTADAS</v>
      </c>
      <c r="C13" s="368"/>
      <c r="D13" s="199" t="str">
        <f>'[1]Planilha Orçamentaria'!G12</f>
        <v>UN</v>
      </c>
      <c r="E13" s="199">
        <v>3</v>
      </c>
      <c r="F13" s="200">
        <v>1.5</v>
      </c>
      <c r="G13" s="200">
        <f>E13*F13</f>
        <v>4.5</v>
      </c>
      <c r="H13" s="200"/>
      <c r="I13" s="201">
        <v>1</v>
      </c>
      <c r="J13" s="200"/>
      <c r="K13" s="200"/>
      <c r="L13" s="200"/>
      <c r="M13" s="200"/>
      <c r="N13" s="200"/>
      <c r="O13" s="202"/>
    </row>
    <row r="14" spans="1:15" ht="15" customHeight="1" thickBot="1">
      <c r="A14" s="198" t="s">
        <v>23</v>
      </c>
      <c r="B14" s="367" t="s">
        <v>128</v>
      </c>
      <c r="C14" s="368"/>
      <c r="D14" s="199" t="str">
        <f>'[1]Planilha Orçamentaria'!G15</f>
        <v>PT</v>
      </c>
      <c r="E14" s="199"/>
      <c r="F14" s="200"/>
      <c r="G14" s="200"/>
      <c r="H14" s="200"/>
      <c r="I14" s="201">
        <v>20</v>
      </c>
      <c r="J14" s="203"/>
      <c r="K14" s="200"/>
      <c r="L14" s="200"/>
      <c r="M14" s="200"/>
      <c r="N14" s="200"/>
      <c r="O14" s="202"/>
    </row>
    <row r="15" spans="1:15" ht="15" customHeight="1" thickBot="1">
      <c r="A15" s="198"/>
      <c r="B15" s="207"/>
      <c r="C15" s="208"/>
      <c r="D15" s="199"/>
      <c r="E15" s="199"/>
      <c r="F15" s="200"/>
      <c r="G15" s="200"/>
      <c r="H15" s="200"/>
      <c r="I15" s="201"/>
      <c r="J15" s="203"/>
      <c r="K15" s="200"/>
      <c r="L15" s="200"/>
      <c r="M15" s="200"/>
      <c r="N15" s="200"/>
      <c r="O15" s="202"/>
    </row>
    <row r="16" spans="1:15" ht="15.75" thickBot="1">
      <c r="A16" s="195" t="s">
        <v>127</v>
      </c>
      <c r="B16" s="369" t="str">
        <f>'Planilha Orçamentaria '!C17</f>
        <v>OBRAS VIÁRIAS</v>
      </c>
      <c r="C16" s="370"/>
      <c r="D16" s="199"/>
      <c r="E16" s="199"/>
      <c r="F16" s="200"/>
      <c r="G16" s="200"/>
      <c r="H16" s="200"/>
      <c r="I16" s="200"/>
      <c r="J16" s="200"/>
      <c r="K16" s="203"/>
      <c r="L16" s="200"/>
      <c r="M16" s="200"/>
      <c r="N16" s="200"/>
      <c r="O16" s="202"/>
    </row>
    <row r="17" spans="1:15" ht="15.75" thickBot="1">
      <c r="A17" s="204" t="s">
        <v>31</v>
      </c>
      <c r="B17" s="367" t="str">
        <f>'Planilha Orçamentaria '!C18</f>
        <v>AQUISIÇÃO DE CASCALHO PARA BASE - MUNHA DE BRITA</v>
      </c>
      <c r="C17" s="368"/>
      <c r="D17" s="199" t="str">
        <f>'Planilha Orçamentaria '!D18</f>
        <v>M3</v>
      </c>
      <c r="E17" s="199"/>
      <c r="F17" s="200"/>
      <c r="G17" s="200">
        <f>G18</f>
        <v>1512.52</v>
      </c>
      <c r="H17" s="200">
        <v>0.15</v>
      </c>
      <c r="I17" s="200"/>
      <c r="J17" s="200"/>
      <c r="K17" s="201">
        <f>ROUND(G17*H17,2)</f>
        <v>226.88</v>
      </c>
      <c r="L17" s="200"/>
      <c r="M17" s="200"/>
      <c r="N17" s="200"/>
      <c r="O17" s="202"/>
    </row>
    <row r="18" spans="1:15" ht="18.75" customHeight="1" thickBot="1">
      <c r="A18" s="204" t="s">
        <v>32</v>
      </c>
      <c r="B18" s="367" t="str">
        <f>'Planilha Orçamentaria '!C19</f>
        <v>REGULARIZAÇÃO DO SUBLEITO COM PROCTOR INTERMEDIÁRIO</v>
      </c>
      <c r="C18" s="368"/>
      <c r="D18" s="199" t="str">
        <f>'Planilha Orçamentaria '!D19</f>
        <v>M2</v>
      </c>
      <c r="E18" s="199"/>
      <c r="F18" s="200"/>
      <c r="G18" s="201">
        <f>'Relação de Ruas a Pavimentar'!I25</f>
        <v>1512.52</v>
      </c>
      <c r="H18" s="200"/>
      <c r="I18" s="200"/>
      <c r="J18" s="200"/>
      <c r="K18" s="203"/>
      <c r="L18" s="200"/>
      <c r="M18" s="200"/>
      <c r="N18" s="200"/>
      <c r="O18" s="202"/>
    </row>
    <row r="19" spans="1:15" ht="55.5" customHeight="1" thickBot="1">
      <c r="A19" s="204" t="s">
        <v>33</v>
      </c>
      <c r="B19" s="367" t="str">
        <f>'Planilha Orçamentaria '!C20</f>
        <v xml:space="preserve">EXECUÇÃO DE BASE DE SOLO ESTABILIZADO GRANULOMETRICAMENTE SEM MISTURA COM PROCTOR INTERMEDIÁRIO, INCLUINDO ESCAVAÇÃO, CARGA, DESCARGA, ESPALHAMENTO E COMPACTAÇÃO DO MATERIAL; EXCLUSIVE AQUISIÇÃO DO MATERIAL (E = 15 CM) </v>
      </c>
      <c r="C19" s="368"/>
      <c r="D19" s="199" t="str">
        <f>'Planilha Orçamentaria '!D20</f>
        <v>M3</v>
      </c>
      <c r="E19" s="199"/>
      <c r="F19" s="200"/>
      <c r="G19" s="200">
        <f>G17</f>
        <v>1512.52</v>
      </c>
      <c r="H19" s="200">
        <v>0.15</v>
      </c>
      <c r="I19" s="200"/>
      <c r="J19" s="200"/>
      <c r="K19" s="201">
        <f>G19*H19</f>
        <v>226.87799999999999</v>
      </c>
      <c r="L19" s="200"/>
      <c r="M19" s="200"/>
      <c r="N19" s="200"/>
      <c r="O19" s="202"/>
    </row>
    <row r="20" spans="1:15" ht="33" customHeight="1" thickBot="1">
      <c r="A20" s="204" t="s">
        <v>34</v>
      </c>
      <c r="B20" s="367" t="str">
        <f>'Planilha Orçamentaria '!C21</f>
        <v>TRANSPORTE DE MATERIAL DE JAZIDA PARA CONSERVAÇÃO. DISTÂNCIA  MÉDIA DE TRANSPORTE DE 15,10 A 20,00 KM</v>
      </c>
      <c r="C20" s="368"/>
      <c r="D20" s="199" t="str">
        <f>'Planilha Orçamentaria '!D21</f>
        <v>M3XKM</v>
      </c>
      <c r="E20" s="199"/>
      <c r="F20" s="200"/>
      <c r="G20" s="200">
        <f>G19</f>
        <v>1512.52</v>
      </c>
      <c r="H20" s="200">
        <v>0.2</v>
      </c>
      <c r="I20" s="200"/>
      <c r="J20" s="203"/>
      <c r="K20" s="201">
        <f>ROUND(G20*H20,2)</f>
        <v>302.5</v>
      </c>
      <c r="L20" s="200"/>
      <c r="M20" s="200"/>
      <c r="N20" s="200"/>
      <c r="O20" s="202"/>
    </row>
    <row r="21" spans="1:15" ht="20.25" customHeight="1" thickBot="1">
      <c r="A21" s="204" t="s">
        <v>35</v>
      </c>
      <c r="B21" s="367" t="e">
        <f>'Planilha Orçamentaria '!#REF!</f>
        <v>#REF!</v>
      </c>
      <c r="C21" s="368"/>
      <c r="D21" s="199" t="e">
        <f>'Planilha Orçamentaria '!#REF!</f>
        <v>#REF!</v>
      </c>
      <c r="E21" s="199"/>
      <c r="F21" s="200"/>
      <c r="G21" s="201">
        <f>'Relação de Ruas a Pavimentar'!I25</f>
        <v>1512.52</v>
      </c>
      <c r="H21" s="200"/>
      <c r="I21" s="200"/>
      <c r="J21" s="200"/>
      <c r="K21" s="200"/>
      <c r="L21" s="200"/>
      <c r="M21" s="200"/>
      <c r="N21" s="200"/>
      <c r="O21" s="202"/>
    </row>
    <row r="22" spans="1:15" ht="28.5" customHeight="1" thickBot="1">
      <c r="A22" s="204" t="s">
        <v>36</v>
      </c>
      <c r="B22" s="367" t="str">
        <f>'Planilha Orçamentaria '!C22</f>
        <v>TRANSPORTE DE MATERIAL DE QUALQUER NATUREZA DMT ACIMA DE 40 KM (DMT = 350 KM)</v>
      </c>
      <c r="C22" s="368"/>
      <c r="D22" s="199" t="str">
        <f>'Planilha Orçamentaria '!D22</f>
        <v>TXKM</v>
      </c>
      <c r="E22" s="199"/>
      <c r="F22" s="200"/>
      <c r="G22" s="201">
        <f>'Relação de Ruas a Pavimentar'!J25</f>
        <v>1374.79</v>
      </c>
      <c r="H22" s="200"/>
      <c r="I22" s="200"/>
      <c r="J22" s="200"/>
      <c r="K22" s="200"/>
      <c r="L22" s="200"/>
      <c r="M22" s="200"/>
      <c r="N22" s="200"/>
      <c r="O22" s="202"/>
    </row>
    <row r="23" spans="1:15" ht="30.75" customHeight="1" thickBot="1">
      <c r="A23" s="204" t="s">
        <v>37</v>
      </c>
      <c r="B23" s="367" t="str">
        <f>'Planilha Orçamentaria '!C23</f>
        <v>IMPRIMAÇÃO (EXECUÇÃO E FORNECIMENTO DO MATERIAL BETUMINOSO, EXCLUSIVE TRANSPORTE DO MATERIAL BETUMINOSO)</v>
      </c>
      <c r="C23" s="368"/>
      <c r="D23" s="199" t="str">
        <f>'Planilha Orçamentaria '!D23</f>
        <v>M2</v>
      </c>
      <c r="E23" s="199"/>
      <c r="F23" s="200"/>
      <c r="G23" s="200">
        <f>G22</f>
        <v>1374.79</v>
      </c>
      <c r="H23" s="200">
        <v>0.2</v>
      </c>
      <c r="I23" s="200"/>
      <c r="J23" s="200"/>
      <c r="K23" s="200">
        <f>G23*H23</f>
        <v>274.95800000000003</v>
      </c>
      <c r="L23" s="200"/>
      <c r="M23" s="200"/>
      <c r="N23" s="200">
        <v>12</v>
      </c>
      <c r="O23" s="205">
        <f>ROUND(K23*N23,2)</f>
        <v>3299.5</v>
      </c>
    </row>
    <row r="24" spans="1:15" ht="33" customHeight="1" thickBot="1">
      <c r="A24" s="204" t="s">
        <v>38</v>
      </c>
      <c r="B24" s="367" t="str">
        <f>'Planilha Orçamentaria '!C24</f>
        <v>PINTURA DE LIGAÇÃO (EXECUÇÃO E FORNECIMENTO DO MATERIAL BETUMINOSO, EXCLUSIVE TRANSPORTE DO MATERIAL BETUMINOSO)</v>
      </c>
      <c r="C24" s="368"/>
      <c r="D24" s="199" t="str">
        <f>'Planilha Orçamentaria '!D24</f>
        <v>M2</v>
      </c>
      <c r="E24" s="199"/>
      <c r="F24" s="200"/>
      <c r="G24" s="200">
        <f>G23</f>
        <v>1374.79</v>
      </c>
      <c r="H24" s="200">
        <v>0.04</v>
      </c>
      <c r="I24" s="200"/>
      <c r="J24" s="200"/>
      <c r="K24" s="201">
        <f>ROUND(G24*H24,2)</f>
        <v>54.99</v>
      </c>
      <c r="L24" s="200"/>
      <c r="M24" s="200"/>
      <c r="N24" s="200"/>
      <c r="O24" s="202"/>
    </row>
    <row r="25" spans="1:15" ht="66" customHeight="1" thickBot="1">
      <c r="A25" s="204" t="s">
        <v>39</v>
      </c>
      <c r="B25" s="367" t="str">
        <f>'Planilha Orçamentaria '!C25</f>
        <v>CONCRETO BETUMINOSO USINADO AQUENTE- CBUQ (EXECUÇÃO, INCLUINDO USINAGEM, APLICAÇÃO, ESPALHAMENTO E COMPACTAÇÃO, FORNECIMENTO DOS AGREGADOS E MATERIAL BETUMINOSO, EXCLUI TRANSPORTE DOS AGREGADOS E DO MATERIAL BETUMINOSO ATÉ USINA E DA MASSA PRONTA ATÉ A PISTA)</v>
      </c>
      <c r="C25" s="368"/>
      <c r="D25" s="199" t="str">
        <f>'Planilha Orçamentaria '!D25</f>
        <v>M3</v>
      </c>
      <c r="E25" s="199"/>
      <c r="F25" s="200"/>
      <c r="G25" s="200">
        <f>G24</f>
        <v>1374.79</v>
      </c>
      <c r="H25" s="200">
        <v>0.04</v>
      </c>
      <c r="I25" s="200"/>
      <c r="J25" s="200"/>
      <c r="K25" s="200">
        <f>G25*H25</f>
        <v>54.991599999999998</v>
      </c>
      <c r="L25" s="200"/>
      <c r="M25" s="200"/>
      <c r="N25" s="200">
        <v>32</v>
      </c>
      <c r="O25" s="205">
        <f>ROUND(K25*N25,2)</f>
        <v>1759.73</v>
      </c>
    </row>
    <row r="26" spans="1:15" ht="23.25" customHeight="1" thickBot="1">
      <c r="A26" s="204" t="s">
        <v>198</v>
      </c>
      <c r="B26" s="367" t="str">
        <f>'Planilha Orçamentaria '!C26</f>
        <v xml:space="preserve">TRANSPORTE DE CONCRETO BETUMINOSO USINADO A QUENTE. DISTÂNCIA MÉDIA DE TRANSPORTE &gt; 50,00 KM (VOLUME COMPACTADO)
 </v>
      </c>
      <c r="C26" s="368"/>
      <c r="D26" s="199" t="str">
        <f>'Planilha Orçamentaria '!D26</f>
        <v>M3XKM</v>
      </c>
      <c r="E26" s="199"/>
      <c r="F26" s="200"/>
      <c r="G26" s="200">
        <f>G25</f>
        <v>1374.79</v>
      </c>
      <c r="H26" s="200">
        <v>0.04</v>
      </c>
      <c r="I26" s="200"/>
      <c r="J26" s="200"/>
      <c r="K26" s="200">
        <f>G26*H26</f>
        <v>54.991599999999998</v>
      </c>
      <c r="L26" s="200"/>
      <c r="M26" s="200"/>
      <c r="N26" s="200">
        <v>32</v>
      </c>
      <c r="O26" s="205">
        <f>ROUND(K26*N26,2)</f>
        <v>1759.73</v>
      </c>
    </row>
    <row r="27" spans="1:15" ht="15" customHeight="1" thickBot="1">
      <c r="A27" s="206" t="s">
        <v>129</v>
      </c>
      <c r="B27" s="369" t="str">
        <f>'Planilha Orçamentaria '!C28</f>
        <v xml:space="preserve">URBANIZAÇÃO E OBRAS COMPLEMENTARES                          </v>
      </c>
      <c r="C27" s="370"/>
      <c r="D27" s="199"/>
      <c r="E27" s="199"/>
      <c r="F27" s="200"/>
      <c r="G27" s="200"/>
      <c r="H27" s="200"/>
      <c r="I27" s="200"/>
      <c r="J27" s="200"/>
      <c r="K27" s="200"/>
      <c r="L27" s="200"/>
      <c r="M27" s="200"/>
      <c r="N27" s="200"/>
      <c r="O27" s="202"/>
    </row>
    <row r="28" spans="1:15" ht="42.75" customHeight="1" thickBot="1">
      <c r="A28" s="204" t="s">
        <v>50</v>
      </c>
      <c r="B28" s="367" t="str">
        <f>'Planilha Orçamentaria '!C29</f>
        <v>MEIO-FIO COM SARJETA, EXECUTADO C/EXTRUSORA (SARJETA 30X8CM MEIO-FIO 15X10CM X H=23CM), INCLUI ESCAVAÇÃO E ACERTO FAIXA 0,45M</v>
      </c>
      <c r="C28" s="368"/>
      <c r="D28" s="199" t="str">
        <f>'[1]Planilha Orçamentaria'!G30</f>
        <v>M</v>
      </c>
      <c r="E28" s="201">
        <f>'Memoria  CBUQ'!F23</f>
        <v>459.08000000000004</v>
      </c>
      <c r="F28" s="200"/>
      <c r="G28" s="200"/>
      <c r="H28" s="200"/>
      <c r="I28" s="200"/>
      <c r="J28" s="200"/>
      <c r="K28" s="200"/>
      <c r="L28" s="200"/>
      <c r="M28" s="200"/>
      <c r="N28" s="200"/>
      <c r="O28" s="202"/>
    </row>
    <row r="29" spans="1:15" ht="42" customHeight="1" thickBot="1">
      <c r="A29" s="204" t="s">
        <v>131</v>
      </c>
      <c r="B29" s="367" t="str">
        <f>'Planilha Orçamentaria '!C30</f>
        <v>LINHAS D ERESINA ACRILICA0, 6MM DE ESPESSURA E LARGURA = 0,30M (EXECUÇÃO, INCLUSIVEPRÉ - MARCAÇÃO, FORNECIMENTO E TRANSPORTE DE TODOS OS MATERIAIS)</v>
      </c>
      <c r="C29" s="368"/>
      <c r="D29" s="199" t="str">
        <f>'[1]Planilha Orçamentaria'!G31</f>
        <v>M</v>
      </c>
      <c r="E29" s="201">
        <v>276.95</v>
      </c>
      <c r="F29" s="200"/>
      <c r="G29" s="200"/>
      <c r="H29" s="200"/>
      <c r="I29" s="200"/>
      <c r="J29" s="200"/>
      <c r="K29" s="137"/>
      <c r="L29" s="137"/>
      <c r="M29" s="200"/>
      <c r="N29" s="200"/>
      <c r="O29" s="202"/>
    </row>
    <row r="30" spans="1:15" ht="35.25" customHeight="1" thickBot="1">
      <c r="A30" s="204" t="s">
        <v>193</v>
      </c>
      <c r="B30" s="367" t="str">
        <f>'Planilha Orçamentaria '!C31</f>
        <v>RAMPA PARA ACESSO DE DEFICIENTE, EM CONCRETO SIMPLES FCK = 25 MPA, DESEMPENADA, COM PINTURA INDICATIVA, 02 DEMÃOS</v>
      </c>
      <c r="C30" s="368"/>
      <c r="D30" s="199" t="s">
        <v>203</v>
      </c>
      <c r="E30" s="199"/>
      <c r="F30" s="210"/>
      <c r="G30" s="210"/>
      <c r="H30" s="210"/>
      <c r="I30" s="201">
        <v>8</v>
      </c>
      <c r="J30" s="210"/>
      <c r="K30" s="210"/>
      <c r="L30" s="210"/>
      <c r="M30" s="210"/>
      <c r="N30" s="210"/>
      <c r="O30" s="211"/>
    </row>
    <row r="31" spans="1:15" ht="18.75" hidden="1" customHeight="1" thickBot="1">
      <c r="A31" s="212" t="s">
        <v>132</v>
      </c>
      <c r="B31" s="385" t="s">
        <v>133</v>
      </c>
      <c r="C31" s="386"/>
      <c r="D31" s="213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5"/>
    </row>
    <row r="32" spans="1:15" ht="18.75" hidden="1" customHeight="1" thickBot="1">
      <c r="A32" s="204" t="s">
        <v>134</v>
      </c>
      <c r="B32" s="367" t="s">
        <v>135</v>
      </c>
      <c r="C32" s="368"/>
      <c r="D32" s="199" t="e">
        <f>'[1]Planilha Orçamentaria'!#REF!</f>
        <v>#REF!</v>
      </c>
      <c r="E32" s="200"/>
      <c r="F32" s="200"/>
      <c r="G32" s="216">
        <v>0</v>
      </c>
      <c r="H32" s="200"/>
      <c r="I32" s="200"/>
      <c r="J32" s="200"/>
      <c r="K32" s="200"/>
      <c r="L32" s="200"/>
      <c r="M32" s="200"/>
      <c r="N32" s="200"/>
      <c r="O32" s="202"/>
    </row>
    <row r="33" spans="1:15" ht="66.75" hidden="1" customHeight="1" thickBot="1">
      <c r="A33" s="204" t="s">
        <v>136</v>
      </c>
      <c r="B33" s="367" t="s">
        <v>137</v>
      </c>
      <c r="C33" s="368"/>
      <c r="D33" s="199" t="e">
        <f>'[1]Planilha Orçamentaria'!#REF!</f>
        <v>#REF!</v>
      </c>
      <c r="E33" s="200"/>
      <c r="F33" s="200"/>
      <c r="G33" s="216">
        <v>0</v>
      </c>
      <c r="H33" s="200"/>
      <c r="I33" s="200"/>
      <c r="J33" s="200"/>
      <c r="K33" s="200"/>
      <c r="L33" s="200"/>
      <c r="M33" s="200"/>
      <c r="N33" s="200"/>
      <c r="O33" s="202"/>
    </row>
    <row r="34" spans="1:15" ht="37.5" hidden="1" customHeight="1" thickBot="1">
      <c r="A34" s="204" t="s">
        <v>138</v>
      </c>
      <c r="B34" s="367" t="s">
        <v>139</v>
      </c>
      <c r="C34" s="368"/>
      <c r="D34" s="199" t="e">
        <f>'[1]Planilha Orçamentaria'!#REF!</f>
        <v>#REF!</v>
      </c>
      <c r="E34" s="200"/>
      <c r="F34" s="200"/>
      <c r="G34" s="216">
        <v>0</v>
      </c>
      <c r="H34" s="200"/>
      <c r="I34" s="200"/>
      <c r="J34" s="200"/>
      <c r="K34" s="200"/>
      <c r="L34" s="200"/>
      <c r="M34" s="200"/>
      <c r="N34" s="200"/>
      <c r="O34" s="202"/>
    </row>
    <row r="35" spans="1:15" ht="15.75" hidden="1" thickBot="1">
      <c r="A35" s="206" t="s">
        <v>140</v>
      </c>
      <c r="B35" s="369" t="s">
        <v>141</v>
      </c>
      <c r="C35" s="370"/>
      <c r="D35" s="199"/>
      <c r="E35" s="200"/>
      <c r="F35" s="200"/>
      <c r="G35" s="200"/>
      <c r="H35" s="200"/>
      <c r="I35" s="200"/>
      <c r="J35" s="200"/>
      <c r="K35" s="200"/>
      <c r="L35" s="200"/>
      <c r="M35" s="200"/>
      <c r="N35" s="200"/>
      <c r="O35" s="202"/>
    </row>
    <row r="36" spans="1:15" ht="15.75" hidden="1" thickBot="1">
      <c r="A36" s="204" t="s">
        <v>142</v>
      </c>
      <c r="B36" s="367" t="s">
        <v>143</v>
      </c>
      <c r="C36" s="368"/>
      <c r="D36" s="199" t="e">
        <f>'[1]Planilha Orçamentaria'!#REF!</f>
        <v>#REF!</v>
      </c>
      <c r="E36" s="200"/>
      <c r="F36" s="200"/>
      <c r="G36" s="201" t="e">
        <f>SUM('[1]Relação de Ruas a Pavimentar'!I13:I20)+SUM('[1]Relação de Ruas a Pavimentar'!#REF!)+'[1]Relação de Ruas a Pavimentar'!#REF!</f>
        <v>#REF!</v>
      </c>
      <c r="H36" s="200"/>
      <c r="I36" s="200"/>
      <c r="J36" s="200"/>
      <c r="K36" s="200"/>
      <c r="L36" s="200"/>
      <c r="M36" s="200"/>
      <c r="N36" s="200"/>
      <c r="O36" s="202"/>
    </row>
    <row r="37" spans="1:15" ht="15.75" hidden="1" customHeight="1" thickBot="1">
      <c r="A37" s="217"/>
      <c r="B37" s="383"/>
      <c r="C37" s="384"/>
      <c r="D37" s="209"/>
      <c r="E37" s="210"/>
      <c r="F37" s="210"/>
      <c r="G37" s="210"/>
      <c r="H37" s="210"/>
      <c r="I37" s="210"/>
      <c r="J37" s="210"/>
      <c r="K37" s="210"/>
      <c r="L37" s="210"/>
      <c r="M37" s="210"/>
      <c r="N37" s="210"/>
      <c r="O37" s="211"/>
    </row>
    <row r="38" spans="1:15">
      <c r="C38" s="182"/>
      <c r="D38" s="182"/>
      <c r="E38" s="182"/>
      <c r="F38" s="182"/>
      <c r="G38" s="182"/>
      <c r="H38" s="182"/>
      <c r="I38" s="182"/>
      <c r="J38" s="182"/>
      <c r="K38" s="182"/>
      <c r="L38" s="182"/>
      <c r="M38" s="182"/>
      <c r="N38" s="182"/>
      <c r="O38" s="182"/>
    </row>
    <row r="39" spans="1:15">
      <c r="A39" s="1"/>
      <c r="B39" s="356"/>
      <c r="C39" s="356"/>
      <c r="D39" s="1"/>
      <c r="E39" s="382" t="s">
        <v>148</v>
      </c>
      <c r="F39" s="356"/>
      <c r="G39" s="4"/>
      <c r="H39" s="1"/>
    </row>
    <row r="40" spans="1:15">
      <c r="A40" s="2"/>
      <c r="B40" s="354" t="s">
        <v>16</v>
      </c>
      <c r="C40" s="354"/>
      <c r="D40" s="2"/>
      <c r="E40" s="358" t="s">
        <v>12</v>
      </c>
      <c r="F40" s="358"/>
      <c r="G40" s="5"/>
      <c r="H40" s="2"/>
      <c r="I40" s="100"/>
    </row>
    <row r="41" spans="1:15">
      <c r="A41"/>
      <c r="B41"/>
      <c r="C41"/>
      <c r="D41"/>
      <c r="E41"/>
      <c r="F41"/>
      <c r="G41"/>
      <c r="H41"/>
      <c r="I41" s="100"/>
    </row>
    <row r="42" spans="1:15">
      <c r="A42" s="1"/>
      <c r="B42" s="356"/>
      <c r="C42" s="356"/>
      <c r="D42" s="1"/>
      <c r="E42" s="357"/>
      <c r="F42" s="357"/>
      <c r="G42" s="4"/>
      <c r="H42" s="1"/>
    </row>
    <row r="43" spans="1:15">
      <c r="A43" s="2"/>
      <c r="B43" s="358" t="s">
        <v>17</v>
      </c>
      <c r="C43" s="358"/>
      <c r="D43" s="2"/>
      <c r="E43" s="355"/>
      <c r="F43" s="355"/>
      <c r="G43" s="5"/>
      <c r="H43" s="2"/>
    </row>
  </sheetData>
  <mergeCells count="39">
    <mergeCell ref="B43:C43"/>
    <mergeCell ref="E43:F43"/>
    <mergeCell ref="B39:C39"/>
    <mergeCell ref="B31:C31"/>
    <mergeCell ref="B30:C30"/>
    <mergeCell ref="B42:C42"/>
    <mergeCell ref="B35:C35"/>
    <mergeCell ref="E42:F42"/>
    <mergeCell ref="E39:F39"/>
    <mergeCell ref="B40:C40"/>
    <mergeCell ref="E40:F40"/>
    <mergeCell ref="B37:C37"/>
    <mergeCell ref="B21:C21"/>
    <mergeCell ref="B22:C22"/>
    <mergeCell ref="B36:C36"/>
    <mergeCell ref="B32:C32"/>
    <mergeCell ref="B34:C34"/>
    <mergeCell ref="B29:C29"/>
    <mergeCell ref="B33:C33"/>
    <mergeCell ref="B25:C25"/>
    <mergeCell ref="B27:C27"/>
    <mergeCell ref="B28:C28"/>
    <mergeCell ref="B6:O6"/>
    <mergeCell ref="B12:C12"/>
    <mergeCell ref="B13:C13"/>
    <mergeCell ref="B2:L2"/>
    <mergeCell ref="B3:L3"/>
    <mergeCell ref="A5:O5"/>
    <mergeCell ref="A9:O9"/>
    <mergeCell ref="B11:C11"/>
    <mergeCell ref="B14:C14"/>
    <mergeCell ref="B16:C16"/>
    <mergeCell ref="B17:C17"/>
    <mergeCell ref="B26:C26"/>
    <mergeCell ref="B24:C24"/>
    <mergeCell ref="B19:C19"/>
    <mergeCell ref="B20:C20"/>
    <mergeCell ref="B23:C23"/>
    <mergeCell ref="B18:C18"/>
  </mergeCells>
  <printOptions horizontalCentered="1" verticalCentered="1"/>
  <pageMargins left="0.51181102362204722" right="0.51181102362204722" top="0.45" bottom="0.44" header="0.31496062992125984" footer="0.31496062992125984"/>
  <pageSetup paperSize="9" scale="51" orientation="landscape" r:id="rId1"/>
  <legacyDrawing r:id="rId2"/>
  <oleObjects>
    <oleObject shapeId="9217" r:id="rId3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A1:O34"/>
  <sheetViews>
    <sheetView topLeftCell="A8" workbookViewId="0">
      <selection activeCell="E16" sqref="E16"/>
    </sheetView>
  </sheetViews>
  <sheetFormatPr defaultRowHeight="15"/>
  <cols>
    <col min="1" max="1" width="9.140625" style="94" customWidth="1"/>
    <col min="2" max="2" width="34.140625" style="94" customWidth="1"/>
    <col min="3" max="4" width="15.5703125" style="94" customWidth="1"/>
    <col min="5" max="5" width="20.7109375" style="94" customWidth="1"/>
    <col min="6" max="6" width="16.5703125" style="94" customWidth="1"/>
    <col min="7" max="7" width="14.42578125" style="94" customWidth="1"/>
    <col min="8" max="8" width="16.28515625" style="94" customWidth="1"/>
    <col min="9" max="9" width="16.5703125" style="94" customWidth="1"/>
    <col min="10" max="10" width="13.85546875" style="94" customWidth="1"/>
    <col min="11" max="11" width="9.5703125" style="94" bestFit="1" customWidth="1"/>
    <col min="12" max="12" width="10.140625" style="94" bestFit="1" customWidth="1"/>
    <col min="13" max="16384" width="9.140625" style="94"/>
  </cols>
  <sheetData>
    <row r="1" spans="1:15" ht="20.25">
      <c r="A1" s="90"/>
      <c r="B1" s="387" t="s">
        <v>74</v>
      </c>
      <c r="C1" s="387"/>
      <c r="D1" s="387"/>
      <c r="E1" s="387"/>
      <c r="F1" s="387"/>
      <c r="G1" s="387"/>
      <c r="H1" s="387"/>
      <c r="I1" s="387"/>
      <c r="J1" s="124"/>
    </row>
    <row r="2" spans="1:15" ht="18">
      <c r="A2" s="95"/>
      <c r="B2" s="388" t="s">
        <v>75</v>
      </c>
      <c r="C2" s="388"/>
      <c r="D2" s="388"/>
      <c r="E2" s="388"/>
      <c r="F2" s="388"/>
      <c r="G2" s="388"/>
      <c r="H2" s="388"/>
      <c r="I2" s="388"/>
      <c r="J2" s="98"/>
    </row>
    <row r="3" spans="1:15">
      <c r="A3" s="95"/>
      <c r="B3" s="100"/>
      <c r="C3" s="100"/>
      <c r="D3" s="100"/>
      <c r="E3" s="100"/>
      <c r="F3" s="100"/>
      <c r="G3" s="100"/>
      <c r="H3" s="100"/>
      <c r="I3" s="100"/>
      <c r="J3" s="102"/>
    </row>
    <row r="4" spans="1:15">
      <c r="A4" s="95"/>
      <c r="B4" s="100"/>
      <c r="C4" s="100"/>
      <c r="D4" s="100"/>
      <c r="E4" s="100"/>
      <c r="F4" s="100"/>
      <c r="G4" s="100"/>
      <c r="H4" s="100"/>
      <c r="I4" s="100"/>
      <c r="J4" s="102"/>
    </row>
    <row r="5" spans="1:15" ht="18.75" customHeight="1">
      <c r="A5" s="374"/>
      <c r="B5" s="375"/>
      <c r="C5" s="375"/>
      <c r="D5" s="375"/>
      <c r="E5" s="375"/>
      <c r="F5" s="375"/>
      <c r="G5" s="375"/>
      <c r="H5" s="375"/>
      <c r="I5" s="375"/>
      <c r="J5" s="376"/>
    </row>
    <row r="6" spans="1:15">
      <c r="A6" s="125"/>
      <c r="B6" s="364" t="s">
        <v>76</v>
      </c>
      <c r="C6" s="364"/>
      <c r="D6" s="364"/>
      <c r="E6" s="364"/>
      <c r="F6" s="364"/>
      <c r="G6" s="364"/>
      <c r="H6" s="364"/>
      <c r="I6" s="364"/>
      <c r="J6" s="389"/>
    </row>
    <row r="7" spans="1:15" ht="15" customHeight="1">
      <c r="A7" s="126"/>
      <c r="B7" s="390" t="s">
        <v>160</v>
      </c>
      <c r="C7" s="391"/>
      <c r="D7" s="391"/>
      <c r="E7" s="391"/>
      <c r="F7" s="391"/>
      <c r="G7" s="391"/>
      <c r="H7" s="391"/>
      <c r="I7" s="391"/>
      <c r="J7" s="392"/>
    </row>
    <row r="8" spans="1:15">
      <c r="A8" s="126"/>
      <c r="B8" s="127"/>
      <c r="C8" s="127"/>
      <c r="D8" s="127"/>
      <c r="E8" s="127"/>
      <c r="F8" s="127"/>
      <c r="G8" s="127"/>
      <c r="H8" s="127"/>
      <c r="I8" s="127"/>
      <c r="J8" s="128"/>
    </row>
    <row r="9" spans="1:15" ht="18">
      <c r="A9" s="393" t="s">
        <v>104</v>
      </c>
      <c r="B9" s="394"/>
      <c r="C9" s="394"/>
      <c r="D9" s="394"/>
      <c r="E9" s="394"/>
      <c r="F9" s="394"/>
      <c r="G9" s="394"/>
      <c r="H9" s="394"/>
      <c r="I9" s="394"/>
      <c r="J9" s="395"/>
    </row>
    <row r="10" spans="1:15" ht="15.75" thickBot="1">
      <c r="A10" s="129"/>
      <c r="B10" s="130"/>
      <c r="C10" s="130"/>
      <c r="D10" s="130"/>
      <c r="E10" s="130"/>
      <c r="F10" s="130"/>
      <c r="G10" s="130"/>
      <c r="H10" s="130"/>
      <c r="I10" s="130"/>
      <c r="J10" s="131"/>
    </row>
    <row r="11" spans="1:15" ht="76.5">
      <c r="A11" s="132" t="s">
        <v>0</v>
      </c>
      <c r="B11" s="133" t="s">
        <v>78</v>
      </c>
      <c r="C11" s="133" t="s">
        <v>105</v>
      </c>
      <c r="D11" s="133" t="s">
        <v>106</v>
      </c>
      <c r="E11" s="133" t="s">
        <v>107</v>
      </c>
      <c r="F11" s="133" t="s">
        <v>108</v>
      </c>
      <c r="G11" s="133" t="s">
        <v>109</v>
      </c>
      <c r="H11" s="133" t="s">
        <v>110</v>
      </c>
      <c r="I11" s="134" t="s">
        <v>111</v>
      </c>
      <c r="J11" s="135" t="s">
        <v>112</v>
      </c>
    </row>
    <row r="12" spans="1:15" ht="26.25" customHeight="1">
      <c r="A12" s="136" t="s">
        <v>82</v>
      </c>
      <c r="B12" s="109" t="s">
        <v>199</v>
      </c>
      <c r="C12" s="141">
        <v>17.03</v>
      </c>
      <c r="D12" s="141">
        <v>16.73</v>
      </c>
      <c r="E12" s="137">
        <v>6.28</v>
      </c>
      <c r="F12" s="138">
        <f>ROUND(E12-(2*0.3),2)</f>
        <v>5.68</v>
      </c>
      <c r="G12" s="138">
        <f>C12+D12</f>
        <v>33.760000000000005</v>
      </c>
      <c r="H12" s="138">
        <f>ROUND(C12+D12,2)</f>
        <v>33.76</v>
      </c>
      <c r="I12" s="139">
        <f>ROUND(((C12+D12)/2)*E12,2)</f>
        <v>106.01</v>
      </c>
      <c r="J12" s="140">
        <f>ROUND(((C12+D12)/2)*F12,2)</f>
        <v>95.88</v>
      </c>
      <c r="N12" s="181">
        <f>I12*0.15</f>
        <v>15.9015</v>
      </c>
    </row>
    <row r="13" spans="1:15" ht="30.75" customHeight="1">
      <c r="A13" s="136" t="s">
        <v>83</v>
      </c>
      <c r="B13" s="109" t="s">
        <v>200</v>
      </c>
      <c r="C13" s="141">
        <v>118.32</v>
      </c>
      <c r="D13" s="141">
        <v>115.9</v>
      </c>
      <c r="E13" s="137">
        <v>6.27</v>
      </c>
      <c r="F13" s="138">
        <f>ROUND(E13-(2*0.3),2)</f>
        <v>5.67</v>
      </c>
      <c r="G13" s="138">
        <f>C13+D13</f>
        <v>234.22</v>
      </c>
      <c r="H13" s="138">
        <f>ROUND(C13+D13,2)</f>
        <v>234.22</v>
      </c>
      <c r="I13" s="139">
        <f>ROUND(((C13+D13)/2)*E13,2)</f>
        <v>734.28</v>
      </c>
      <c r="J13" s="140">
        <f>ROUND(((C13+D13)/2)*F13,2)</f>
        <v>664.01</v>
      </c>
      <c r="N13" s="181">
        <f>I13*0.15</f>
        <v>110.142</v>
      </c>
    </row>
    <row r="14" spans="1:15" ht="30.75" customHeight="1">
      <c r="A14" s="136" t="s">
        <v>87</v>
      </c>
      <c r="B14" s="109" t="s">
        <v>201</v>
      </c>
      <c r="C14" s="141">
        <v>26.55</v>
      </c>
      <c r="D14" s="141">
        <v>26.65</v>
      </c>
      <c r="E14" s="137">
        <v>6.45</v>
      </c>
      <c r="F14" s="138">
        <f>ROUND(E14-(2*0.3),2)</f>
        <v>5.85</v>
      </c>
      <c r="G14" s="138">
        <f>C14+D14</f>
        <v>53.2</v>
      </c>
      <c r="H14" s="138">
        <f>ROUND(C14+D14,2)</f>
        <v>53.2</v>
      </c>
      <c r="I14" s="139">
        <f>ROUND(((C14+D14)/2)*E14,2)</f>
        <v>171.57</v>
      </c>
      <c r="J14" s="140">
        <f>ROUND(((C14+D14)/2)*F14,2)</f>
        <v>155.61000000000001</v>
      </c>
      <c r="N14" s="181">
        <f>I14*0.15</f>
        <v>25.735499999999998</v>
      </c>
    </row>
    <row r="15" spans="1:15" ht="30.75" customHeight="1">
      <c r="A15" s="136" t="s">
        <v>91</v>
      </c>
      <c r="B15" s="109" t="s">
        <v>202</v>
      </c>
      <c r="C15" s="142"/>
      <c r="D15" s="142"/>
      <c r="E15" s="137"/>
      <c r="F15" s="138"/>
      <c r="G15" s="138">
        <f>12.56+25.21+14.53</f>
        <v>52.300000000000004</v>
      </c>
      <c r="H15" s="138">
        <f>G15</f>
        <v>52.300000000000004</v>
      </c>
      <c r="I15" s="139">
        <v>218.18</v>
      </c>
      <c r="J15" s="140">
        <f>I15-(H15*0.3)</f>
        <v>202.49</v>
      </c>
      <c r="N15" s="181">
        <f>I15*0.15</f>
        <v>32.726999999999997</v>
      </c>
    </row>
    <row r="16" spans="1:15" ht="17.25" customHeight="1">
      <c r="A16" s="136" t="s">
        <v>95</v>
      </c>
      <c r="B16" s="109" t="s">
        <v>100</v>
      </c>
      <c r="C16" s="113">
        <v>42.09</v>
      </c>
      <c r="D16" s="113">
        <v>43.51</v>
      </c>
      <c r="E16" s="137">
        <v>6.6</v>
      </c>
      <c r="F16" s="138">
        <f>ROUND(E16-(2*0.3),2)</f>
        <v>6</v>
      </c>
      <c r="G16" s="138">
        <f>42.09+43.51</f>
        <v>85.6</v>
      </c>
      <c r="H16" s="138">
        <f>G16</f>
        <v>85.6</v>
      </c>
      <c r="I16" s="139">
        <f>ROUND(((C16+D16)/2)*E16,2)</f>
        <v>282.48</v>
      </c>
      <c r="J16" s="140">
        <f>ROUND(((C16+D16)/2)*F16,2)</f>
        <v>256.8</v>
      </c>
      <c r="N16" s="181">
        <f>I16*0.15</f>
        <v>42.372</v>
      </c>
      <c r="O16" s="94">
        <f>((420.9+43.51)/2)</f>
        <v>232.20499999999998</v>
      </c>
    </row>
    <row r="17" spans="1:13" ht="17.25" customHeight="1">
      <c r="A17" s="107"/>
      <c r="B17" s="109"/>
      <c r="C17" s="138"/>
      <c r="D17" s="138"/>
      <c r="E17" s="138"/>
      <c r="F17" s="138"/>
      <c r="G17" s="138"/>
      <c r="H17" s="138"/>
      <c r="I17" s="139"/>
      <c r="J17" s="140"/>
    </row>
    <row r="18" spans="1:13" ht="17.25" customHeight="1">
      <c r="A18" s="107"/>
      <c r="B18" s="109"/>
      <c r="C18" s="138"/>
      <c r="D18" s="138"/>
      <c r="E18" s="138"/>
      <c r="F18" s="138"/>
      <c r="G18" s="138"/>
      <c r="H18" s="138"/>
      <c r="I18" s="139"/>
      <c r="J18" s="140"/>
      <c r="M18" s="94">
        <f>((7.21+6.72)*54.63)/2</f>
        <v>380.49795</v>
      </c>
    </row>
    <row r="19" spans="1:13" ht="17.25" customHeight="1">
      <c r="A19" s="107"/>
      <c r="B19" s="109"/>
      <c r="C19" s="138"/>
      <c r="D19" s="138"/>
      <c r="E19" s="138"/>
      <c r="F19" s="138"/>
      <c r="G19" s="138"/>
      <c r="H19" s="138"/>
      <c r="I19" s="139"/>
      <c r="J19" s="140"/>
    </row>
    <row r="20" spans="1:13" ht="17.25" hidden="1" customHeight="1">
      <c r="A20" s="143"/>
      <c r="B20" s="144"/>
      <c r="C20" s="145"/>
      <c r="D20" s="146"/>
      <c r="E20" s="146"/>
      <c r="F20" s="138"/>
      <c r="G20" s="147"/>
      <c r="H20" s="145"/>
      <c r="I20" s="148"/>
      <c r="J20" s="149"/>
    </row>
    <row r="21" spans="1:13" ht="17.25" hidden="1" customHeight="1">
      <c r="A21" s="143"/>
      <c r="B21" s="150"/>
      <c r="C21" s="151"/>
      <c r="D21" s="152"/>
      <c r="E21" s="153"/>
      <c r="F21" s="138"/>
      <c r="G21" s="147"/>
      <c r="H21" s="154"/>
      <c r="I21" s="148"/>
      <c r="J21" s="149"/>
    </row>
    <row r="22" spans="1:13" ht="17.25" customHeight="1">
      <c r="A22" s="155"/>
      <c r="B22" s="156"/>
      <c r="C22" s="113"/>
      <c r="D22" s="113"/>
      <c r="E22" s="137"/>
      <c r="F22" s="137"/>
      <c r="G22" s="137"/>
      <c r="H22" s="154"/>
      <c r="I22" s="157"/>
      <c r="J22" s="158"/>
    </row>
    <row r="23" spans="1:13" ht="17.25" customHeight="1">
      <c r="A23" s="159"/>
      <c r="B23" s="160"/>
      <c r="C23" s="161"/>
      <c r="D23" s="161"/>
      <c r="E23" s="162"/>
      <c r="F23" s="163"/>
      <c r="G23" s="163"/>
      <c r="H23" s="157"/>
      <c r="I23" s="164"/>
      <c r="J23" s="165"/>
      <c r="L23" s="166">
        <f>SUM(I12:I19)</f>
        <v>1512.52</v>
      </c>
    </row>
    <row r="24" spans="1:13" ht="17.25" customHeight="1" thickBot="1">
      <c r="A24" s="167"/>
      <c r="B24" s="168"/>
      <c r="C24" s="169"/>
      <c r="D24" s="169"/>
      <c r="E24" s="170"/>
      <c r="F24" s="163"/>
      <c r="G24" s="171"/>
      <c r="H24" s="172"/>
      <c r="I24" s="173"/>
      <c r="J24" s="174"/>
    </row>
    <row r="25" spans="1:13" ht="15.75" thickBot="1">
      <c r="A25" s="175"/>
      <c r="B25" s="176" t="s">
        <v>103</v>
      </c>
      <c r="C25" s="177"/>
      <c r="D25" s="177"/>
      <c r="E25" s="178"/>
      <c r="F25" s="178"/>
      <c r="G25" s="179">
        <f>SUM(G12:G19)</f>
        <v>459.08000000000004</v>
      </c>
      <c r="H25" s="180">
        <f>SUM(H12:H23)</f>
        <v>459.08000000000004</v>
      </c>
      <c r="I25" s="179">
        <f>ROUND(SUM(I12:I19),2)</f>
        <v>1512.52</v>
      </c>
      <c r="J25" s="120">
        <f>ROUND(SUM(J12:J19),2)</f>
        <v>1374.79</v>
      </c>
      <c r="K25" s="181"/>
    </row>
    <row r="27" spans="1:13">
      <c r="A27" s="1"/>
      <c r="B27" s="1"/>
      <c r="C27" s="1"/>
      <c r="D27" s="1"/>
      <c r="E27" s="1"/>
      <c r="F27" s="1"/>
      <c r="G27" s="1"/>
      <c r="H27" s="1"/>
      <c r="I27" s="325">
        <f>I25*0.15</f>
        <v>226.87799999999999</v>
      </c>
      <c r="J27" s="123"/>
    </row>
    <row r="28" spans="1:13">
      <c r="A28" s="1"/>
      <c r="B28" s="1"/>
      <c r="C28" s="1"/>
      <c r="D28" s="1"/>
      <c r="E28" s="1"/>
      <c r="F28" s="1"/>
      <c r="G28" s="1"/>
      <c r="H28" s="1"/>
      <c r="I28" s="123"/>
      <c r="J28" s="123"/>
    </row>
    <row r="29" spans="1:13">
      <c r="A29" s="1"/>
      <c r="B29" s="356"/>
      <c r="C29" s="356"/>
      <c r="D29" s="1"/>
      <c r="E29" s="382" t="s">
        <v>148</v>
      </c>
      <c r="F29" s="356"/>
      <c r="G29" s="4"/>
      <c r="H29" s="1"/>
      <c r="I29" s="100"/>
    </row>
    <row r="30" spans="1:13">
      <c r="A30" s="2"/>
      <c r="B30" s="354" t="s">
        <v>16</v>
      </c>
      <c r="C30" s="354"/>
      <c r="D30" s="2"/>
      <c r="E30" s="358" t="s">
        <v>12</v>
      </c>
      <c r="F30" s="358"/>
      <c r="G30" s="5"/>
      <c r="H30" s="2"/>
    </row>
    <row r="31" spans="1:13">
      <c r="A31"/>
      <c r="B31"/>
      <c r="C31"/>
      <c r="D31"/>
      <c r="E31"/>
      <c r="F31"/>
      <c r="G31"/>
      <c r="H31"/>
    </row>
    <row r="32" spans="1:13">
      <c r="A32"/>
      <c r="B32"/>
      <c r="C32"/>
      <c r="D32"/>
      <c r="E32"/>
      <c r="F32"/>
      <c r="G32"/>
      <c r="H32"/>
    </row>
    <row r="33" spans="1:8">
      <c r="A33" s="1"/>
      <c r="B33" s="356"/>
      <c r="C33" s="356"/>
      <c r="D33" s="1"/>
      <c r="E33" s="357"/>
      <c r="F33" s="357"/>
      <c r="G33" s="4"/>
      <c r="H33" s="1"/>
    </row>
    <row r="34" spans="1:8">
      <c r="A34" s="2"/>
      <c r="B34" s="358" t="s">
        <v>17</v>
      </c>
      <c r="C34" s="358"/>
      <c r="D34" s="2"/>
      <c r="E34" s="355"/>
      <c r="F34" s="355"/>
      <c r="G34" s="5"/>
      <c r="H34" s="2"/>
    </row>
  </sheetData>
  <mergeCells count="14">
    <mergeCell ref="A9:J9"/>
    <mergeCell ref="B34:C34"/>
    <mergeCell ref="E34:F34"/>
    <mergeCell ref="B29:C29"/>
    <mergeCell ref="E29:F29"/>
    <mergeCell ref="B30:C30"/>
    <mergeCell ref="E30:F30"/>
    <mergeCell ref="B33:C33"/>
    <mergeCell ref="E33:F33"/>
    <mergeCell ref="B1:I1"/>
    <mergeCell ref="B2:I2"/>
    <mergeCell ref="A5:J5"/>
    <mergeCell ref="B6:J6"/>
    <mergeCell ref="B7:J7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70" orientation="landscape" r:id="rId1"/>
  <colBreaks count="1" manualBreakCount="1">
    <brk id="10" max="1048575" man="1"/>
  </colBreaks>
  <legacyDrawing r:id="rId2"/>
  <oleObjects>
    <oleObject shapeId="8193" r:id="rId3"/>
  </oleObjects>
</worksheet>
</file>

<file path=xl/worksheets/sheet4.xml><?xml version="1.0" encoding="utf-8"?>
<worksheet xmlns="http://schemas.openxmlformats.org/spreadsheetml/2006/main" xmlns:r="http://schemas.openxmlformats.org/officeDocument/2006/relationships">
  <dimension ref="A1:R37"/>
  <sheetViews>
    <sheetView view="pageBreakPreview" topLeftCell="A13" zoomScaleNormal="90" zoomScaleSheetLayoutView="100" workbookViewId="0">
      <selection activeCell="E28" sqref="E28"/>
    </sheetView>
  </sheetViews>
  <sheetFormatPr defaultRowHeight="15"/>
  <cols>
    <col min="1" max="1" width="9.140625" style="94"/>
    <col min="2" max="2" width="32.5703125" style="94" customWidth="1"/>
    <col min="3" max="3" width="22.85546875" style="94" customWidth="1"/>
    <col min="4" max="4" width="13.7109375" style="94" customWidth="1"/>
    <col min="5" max="5" width="24.42578125" style="122" customWidth="1"/>
    <col min="6" max="6" width="27.140625" style="94" customWidth="1"/>
    <col min="7" max="7" width="23.5703125" style="94" customWidth="1"/>
    <col min="8" max="9" width="9.140625" style="94" customWidth="1"/>
    <col min="10" max="10" width="3.7109375" style="94" customWidth="1"/>
    <col min="11" max="11" width="15.42578125" style="94" customWidth="1"/>
    <col min="12" max="12" width="15.85546875" style="94" customWidth="1"/>
    <col min="13" max="13" width="17" style="94" customWidth="1"/>
    <col min="14" max="16384" width="9.140625" style="94"/>
  </cols>
  <sheetData>
    <row r="1" spans="1:9">
      <c r="A1" s="90"/>
      <c r="B1" s="91"/>
      <c r="C1" s="91"/>
      <c r="D1" s="91"/>
      <c r="E1" s="92"/>
      <c r="F1" s="91"/>
      <c r="G1" s="93"/>
    </row>
    <row r="2" spans="1:9" ht="20.25">
      <c r="A2" s="95"/>
      <c r="B2" s="373" t="s">
        <v>74</v>
      </c>
      <c r="C2" s="373"/>
      <c r="D2" s="373"/>
      <c r="E2" s="373"/>
      <c r="F2" s="373"/>
      <c r="G2" s="96"/>
      <c r="H2" s="97"/>
      <c r="I2" s="97"/>
    </row>
    <row r="3" spans="1:9" ht="18">
      <c r="A3" s="95"/>
      <c r="B3" s="388" t="s">
        <v>75</v>
      </c>
      <c r="C3" s="388"/>
      <c r="D3" s="388"/>
      <c r="E3" s="388"/>
      <c r="F3" s="388"/>
      <c r="G3" s="98"/>
      <c r="H3" s="99"/>
      <c r="I3" s="99"/>
    </row>
    <row r="4" spans="1:9">
      <c r="A4" s="95"/>
      <c r="B4" s="100"/>
      <c r="C4" s="100"/>
      <c r="D4" s="100"/>
      <c r="E4" s="101"/>
      <c r="F4" s="100"/>
      <c r="G4" s="102"/>
    </row>
    <row r="5" spans="1:9">
      <c r="A5" s="95"/>
      <c r="B5" s="100"/>
      <c r="C5" s="100"/>
      <c r="D5" s="100"/>
      <c r="E5" s="101"/>
      <c r="F5" s="100"/>
      <c r="G5" s="102"/>
    </row>
    <row r="6" spans="1:9" ht="15" customHeight="1" thickBot="1">
      <c r="A6" s="397"/>
      <c r="B6" s="398"/>
      <c r="C6" s="398"/>
      <c r="D6" s="398"/>
      <c r="E6" s="398"/>
      <c r="F6" s="398"/>
      <c r="G6" s="399"/>
    </row>
    <row r="7" spans="1:9" ht="15" customHeight="1">
      <c r="A7" s="400" t="s">
        <v>76</v>
      </c>
      <c r="B7" s="401"/>
      <c r="C7" s="401"/>
      <c r="D7" s="401"/>
      <c r="E7" s="401"/>
      <c r="F7" s="401"/>
      <c r="G7" s="402"/>
    </row>
    <row r="8" spans="1:9">
      <c r="A8" s="403"/>
      <c r="B8" s="404"/>
      <c r="C8" s="404"/>
      <c r="D8" s="404"/>
      <c r="E8" s="404"/>
      <c r="F8" s="404"/>
      <c r="G8" s="405"/>
    </row>
    <row r="9" spans="1:9">
      <c r="A9" s="390" t="s">
        <v>159</v>
      </c>
      <c r="B9" s="391"/>
      <c r="C9" s="391"/>
      <c r="D9" s="391"/>
      <c r="E9" s="391"/>
      <c r="F9" s="391"/>
      <c r="G9" s="406"/>
    </row>
    <row r="10" spans="1:9">
      <c r="A10" s="407"/>
      <c r="B10" s="408"/>
      <c r="C10" s="408"/>
      <c r="D10" s="408"/>
      <c r="E10" s="408"/>
      <c r="F10" s="408"/>
      <c r="G10" s="409"/>
    </row>
    <row r="11" spans="1:9" ht="18">
      <c r="A11" s="410" t="s">
        <v>77</v>
      </c>
      <c r="B11" s="411"/>
      <c r="C11" s="411"/>
      <c r="D11" s="411"/>
      <c r="E11" s="411"/>
      <c r="F11" s="411"/>
      <c r="G11" s="412"/>
    </row>
    <row r="12" spans="1:9">
      <c r="A12" s="413"/>
      <c r="B12" s="414"/>
      <c r="C12" s="414"/>
      <c r="D12" s="414"/>
      <c r="E12" s="414"/>
      <c r="F12" s="414"/>
      <c r="G12" s="415"/>
    </row>
    <row r="13" spans="1:9" ht="34.5" customHeight="1">
      <c r="A13" s="103" t="s">
        <v>0</v>
      </c>
      <c r="B13" s="104" t="s">
        <v>78</v>
      </c>
      <c r="C13" s="105"/>
      <c r="D13" s="104"/>
      <c r="E13" s="104" t="s">
        <v>79</v>
      </c>
      <c r="F13" s="104" t="s">
        <v>80</v>
      </c>
      <c r="G13" s="106" t="s">
        <v>81</v>
      </c>
    </row>
    <row r="14" spans="1:9" ht="35.25" customHeight="1">
      <c r="A14" s="107" t="s">
        <v>83</v>
      </c>
      <c r="B14" s="109" t="s">
        <v>84</v>
      </c>
      <c r="C14" s="110"/>
      <c r="D14" s="108"/>
      <c r="E14" s="111" t="s">
        <v>85</v>
      </c>
      <c r="F14" s="111" t="str">
        <f>E14</f>
        <v>(16,73+17,03)</v>
      </c>
      <c r="G14" s="112" t="s">
        <v>86</v>
      </c>
    </row>
    <row r="15" spans="1:9" ht="33" customHeight="1">
      <c r="A15" s="107" t="s">
        <v>87</v>
      </c>
      <c r="B15" s="109" t="s">
        <v>88</v>
      </c>
      <c r="C15" s="110"/>
      <c r="D15" s="108"/>
      <c r="E15" s="111" t="s">
        <v>89</v>
      </c>
      <c r="F15" s="111" t="str">
        <f>E15</f>
        <v>(115,90+118,32)</v>
      </c>
      <c r="G15" s="112" t="s">
        <v>90</v>
      </c>
    </row>
    <row r="16" spans="1:9" ht="34.5" customHeight="1">
      <c r="A16" s="107" t="s">
        <v>91</v>
      </c>
      <c r="B16" s="109" t="s">
        <v>92</v>
      </c>
      <c r="C16" s="110"/>
      <c r="D16" s="108"/>
      <c r="E16" s="111" t="s">
        <v>93</v>
      </c>
      <c r="F16" s="111" t="str">
        <f>E16</f>
        <v>(26,55+26,65)</v>
      </c>
      <c r="G16" s="112" t="s">
        <v>94</v>
      </c>
    </row>
    <row r="17" spans="1:18" ht="33" customHeight="1">
      <c r="A17" s="107" t="s">
        <v>95</v>
      </c>
      <c r="B17" s="109" t="s">
        <v>96</v>
      </c>
      <c r="C17" s="110"/>
      <c r="D17" s="108"/>
      <c r="E17" s="111" t="s">
        <v>97</v>
      </c>
      <c r="F17" s="111" t="str">
        <f>E17</f>
        <v>12,56+25,21+14,53</v>
      </c>
      <c r="G17" s="112" t="s">
        <v>98</v>
      </c>
    </row>
    <row r="18" spans="1:18" ht="15" customHeight="1">
      <c r="A18" s="107" t="s">
        <v>99</v>
      </c>
      <c r="B18" s="109" t="s">
        <v>100</v>
      </c>
      <c r="C18" s="110"/>
      <c r="D18" s="108"/>
      <c r="E18" s="113" t="s">
        <v>101</v>
      </c>
      <c r="F18" s="113" t="str">
        <f>E18</f>
        <v>42,09+43,51</v>
      </c>
      <c r="G18" s="114" t="s">
        <v>102</v>
      </c>
    </row>
    <row r="19" spans="1:18" ht="15" customHeight="1">
      <c r="A19" s="107"/>
      <c r="B19" s="109"/>
      <c r="C19" s="110"/>
      <c r="D19" s="108"/>
      <c r="E19" s="113"/>
      <c r="F19" s="113"/>
      <c r="G19" s="114"/>
    </row>
    <row r="20" spans="1:18" ht="15" customHeight="1">
      <c r="A20" s="107"/>
      <c r="B20" s="109"/>
      <c r="C20" s="110"/>
      <c r="D20" s="113"/>
      <c r="E20" s="113"/>
      <c r="F20" s="113"/>
      <c r="G20" s="112"/>
    </row>
    <row r="21" spans="1:18" ht="12" customHeight="1">
      <c r="A21" s="107"/>
      <c r="B21" s="109"/>
      <c r="C21" s="110"/>
      <c r="D21" s="113"/>
      <c r="E21" s="113"/>
      <c r="F21" s="113">
        <f>E21</f>
        <v>0</v>
      </c>
      <c r="G21" s="112"/>
    </row>
    <row r="22" spans="1:18" ht="16.5" customHeight="1" thickBot="1">
      <c r="A22" s="107"/>
      <c r="B22" s="109"/>
      <c r="C22" s="110"/>
      <c r="D22" s="113"/>
      <c r="E22" s="115"/>
      <c r="F22" s="113"/>
      <c r="G22" s="116"/>
    </row>
    <row r="23" spans="1:18" ht="15.75" customHeight="1" thickBot="1">
      <c r="A23" s="416" t="s">
        <v>103</v>
      </c>
      <c r="B23" s="417"/>
      <c r="C23" s="117"/>
      <c r="D23" s="118"/>
      <c r="E23" s="119">
        <f>'Relação de Ruas a Pavimentar'!H25</f>
        <v>459.08000000000004</v>
      </c>
      <c r="F23" s="120">
        <f>'Relação de Ruas a Pavimentar'!G25</f>
        <v>459.08000000000004</v>
      </c>
      <c r="G23" s="120">
        <f>'Relação de Ruas a Pavimentar'!I25</f>
        <v>1512.52</v>
      </c>
      <c r="N23" s="121"/>
      <c r="O23" s="396"/>
      <c r="P23" s="396"/>
      <c r="R23" s="121"/>
    </row>
    <row r="24" spans="1:18">
      <c r="N24" s="121"/>
      <c r="O24" s="396"/>
      <c r="P24" s="396"/>
      <c r="R24" s="121"/>
    </row>
    <row r="25" spans="1:18">
      <c r="A25" s="1"/>
      <c r="B25" s="1"/>
      <c r="C25" s="1"/>
      <c r="D25" s="1"/>
      <c r="E25" s="1"/>
      <c r="F25" s="1"/>
      <c r="G25" s="1"/>
      <c r="H25" s="1"/>
      <c r="N25" s="121"/>
      <c r="O25" s="396"/>
      <c r="P25" s="396"/>
      <c r="R25" s="121"/>
    </row>
    <row r="26" spans="1:18" ht="15.75" customHeight="1">
      <c r="A26" s="1"/>
      <c r="B26" s="356"/>
      <c r="C26" s="356"/>
      <c r="D26" s="1"/>
      <c r="E26" s="382" t="s">
        <v>148</v>
      </c>
      <c r="F26" s="356"/>
      <c r="G26" s="4"/>
      <c r="H26" s="1"/>
      <c r="N26" s="121"/>
      <c r="O26" s="396"/>
      <c r="P26" s="396"/>
      <c r="R26" s="121"/>
    </row>
    <row r="27" spans="1:18" ht="24" customHeight="1">
      <c r="A27" s="2"/>
      <c r="B27" s="354" t="s">
        <v>16</v>
      </c>
      <c r="C27" s="354"/>
      <c r="D27" s="2"/>
      <c r="E27" s="358" t="s">
        <v>12</v>
      </c>
      <c r="F27" s="358"/>
      <c r="G27" s="5"/>
      <c r="H27" s="2"/>
      <c r="N27" s="121"/>
      <c r="O27" s="396"/>
      <c r="P27" s="396"/>
      <c r="R27" s="121"/>
    </row>
    <row r="28" spans="1:18" ht="24" customHeight="1">
      <c r="A28" s="2"/>
      <c r="B28" s="224"/>
      <c r="C28" s="224"/>
      <c r="D28" s="2"/>
      <c r="E28" s="5"/>
      <c r="F28" s="5"/>
      <c r="G28" s="5"/>
      <c r="H28" s="2"/>
      <c r="N28" s="121"/>
      <c r="O28" s="225"/>
      <c r="P28" s="225"/>
      <c r="R28" s="121"/>
    </row>
    <row r="29" spans="1:18" ht="24" customHeight="1">
      <c r="A29" s="2"/>
      <c r="B29" s="224"/>
      <c r="C29" s="224"/>
      <c r="D29" s="2"/>
      <c r="E29" s="5"/>
      <c r="F29" s="5"/>
      <c r="G29" s="5"/>
      <c r="H29" s="2"/>
      <c r="N29" s="121"/>
      <c r="O29" s="225"/>
      <c r="P29" s="225"/>
      <c r="R29" s="121"/>
    </row>
    <row r="30" spans="1:18" ht="24" customHeight="1">
      <c r="A30" s="2"/>
      <c r="B30" s="358" t="s">
        <v>17</v>
      </c>
      <c r="C30" s="358"/>
      <c r="D30" s="2"/>
      <c r="E30" s="5"/>
      <c r="F30" s="5"/>
      <c r="G30" s="5"/>
      <c r="H30" s="2"/>
      <c r="N30" s="121"/>
      <c r="O30" s="225"/>
      <c r="P30" s="225"/>
      <c r="R30" s="121"/>
    </row>
    <row r="31" spans="1:18" ht="24" customHeight="1">
      <c r="A31" s="2"/>
      <c r="B31" s="224"/>
      <c r="C31" s="224"/>
      <c r="D31" s="2"/>
      <c r="E31" s="5"/>
      <c r="F31" s="5"/>
      <c r="G31" s="5"/>
      <c r="H31" s="2"/>
      <c r="N31" s="121"/>
      <c r="O31" s="225"/>
      <c r="P31" s="225"/>
      <c r="R31" s="121"/>
    </row>
    <row r="32" spans="1:18" ht="18" customHeight="1">
      <c r="A32"/>
      <c r="B32"/>
      <c r="C32"/>
      <c r="D32"/>
      <c r="E32"/>
      <c r="F32"/>
      <c r="G32"/>
      <c r="H32"/>
      <c r="N32" s="121"/>
      <c r="O32" s="396"/>
      <c r="P32" s="396"/>
      <c r="R32" s="121"/>
    </row>
    <row r="33" spans="1:18">
      <c r="A33"/>
      <c r="B33"/>
      <c r="C33"/>
      <c r="D33"/>
      <c r="E33"/>
      <c r="F33"/>
      <c r="G33"/>
      <c r="H33"/>
      <c r="N33" s="121"/>
      <c r="O33" s="396"/>
      <c r="P33" s="396"/>
      <c r="R33" s="121"/>
    </row>
    <row r="34" spans="1:18">
      <c r="A34" s="1"/>
      <c r="B34" s="357"/>
      <c r="C34" s="357"/>
      <c r="D34" s="1"/>
      <c r="E34" s="357"/>
      <c r="F34" s="357"/>
      <c r="G34" s="4"/>
      <c r="H34" s="1"/>
      <c r="N34" s="121"/>
      <c r="O34" s="396"/>
      <c r="P34" s="396"/>
      <c r="R34" s="121"/>
    </row>
    <row r="35" spans="1:18">
      <c r="A35" s="2"/>
      <c r="B35" s="100"/>
      <c r="C35" s="100"/>
      <c r="D35" s="2"/>
      <c r="E35" s="355"/>
      <c r="F35" s="355"/>
      <c r="G35" s="5"/>
      <c r="H35" s="2"/>
      <c r="N35" s="121"/>
      <c r="O35" s="396"/>
      <c r="P35" s="396"/>
      <c r="R35" s="121"/>
    </row>
    <row r="36" spans="1:18">
      <c r="N36" s="121"/>
      <c r="O36" s="396"/>
      <c r="P36" s="396"/>
      <c r="R36" s="121"/>
    </row>
    <row r="37" spans="1:18">
      <c r="N37" s="121"/>
      <c r="O37" s="396"/>
      <c r="P37" s="396"/>
      <c r="R37" s="121"/>
    </row>
  </sheetData>
  <mergeCells count="29">
    <mergeCell ref="O37:P37"/>
    <mergeCell ref="B26:C26"/>
    <mergeCell ref="E26:F26"/>
    <mergeCell ref="B27:C27"/>
    <mergeCell ref="E27:F27"/>
    <mergeCell ref="B34:C34"/>
    <mergeCell ref="E34:F34"/>
    <mergeCell ref="O27:P27"/>
    <mergeCell ref="O32:P32"/>
    <mergeCell ref="O33:P33"/>
    <mergeCell ref="E35:F35"/>
    <mergeCell ref="O35:P35"/>
    <mergeCell ref="O36:P36"/>
    <mergeCell ref="O34:P34"/>
    <mergeCell ref="O24:P24"/>
    <mergeCell ref="B30:C30"/>
    <mergeCell ref="O25:P25"/>
    <mergeCell ref="O26:P26"/>
    <mergeCell ref="B2:F2"/>
    <mergeCell ref="B3:F3"/>
    <mergeCell ref="A6:G6"/>
    <mergeCell ref="A7:G7"/>
    <mergeCell ref="A8:G8"/>
    <mergeCell ref="A9:G9"/>
    <mergeCell ref="A10:G10"/>
    <mergeCell ref="A11:G11"/>
    <mergeCell ref="A12:G12"/>
    <mergeCell ref="A23:B23"/>
    <mergeCell ref="O23:P23"/>
  </mergeCells>
  <pageMargins left="0.93" right="0.51181102362204722" top="0.78740157480314965" bottom="0.78740157480314965" header="0.31496062992125984" footer="0.31496062992125984"/>
  <pageSetup paperSize="9" scale="80" orientation="landscape" r:id="rId1"/>
  <colBreaks count="1" manualBreakCount="1">
    <brk id="7" max="1048575" man="1"/>
  </colBreaks>
  <legacyDrawing r:id="rId2"/>
  <oleObjects>
    <oleObject shapeId="7169" r:id="rId3"/>
  </oleObjects>
</worksheet>
</file>

<file path=xl/worksheets/sheet5.xml><?xml version="1.0" encoding="utf-8"?>
<worksheet xmlns="http://schemas.openxmlformats.org/spreadsheetml/2006/main" xmlns:r="http://schemas.openxmlformats.org/officeDocument/2006/relationships">
  <dimension ref="A1:I56"/>
  <sheetViews>
    <sheetView showGridLines="0" showZeros="0" view="pageBreakPreview" topLeftCell="A13" zoomScaleSheetLayoutView="93" workbookViewId="0">
      <selection activeCell="F17" sqref="F17"/>
    </sheetView>
  </sheetViews>
  <sheetFormatPr defaultRowHeight="12.75"/>
  <cols>
    <col min="1" max="1" width="5.42578125" style="9" bestFit="1" customWidth="1"/>
    <col min="2" max="2" width="10.7109375" style="9" bestFit="1" customWidth="1"/>
    <col min="3" max="3" width="46.28515625" style="9" customWidth="1"/>
    <col min="4" max="4" width="9.140625" style="9"/>
    <col min="5" max="8" width="12.28515625" style="9" customWidth="1"/>
    <col min="9" max="16384" width="9.140625" style="9"/>
  </cols>
  <sheetData>
    <row r="1" spans="1:9" ht="60.75" customHeight="1">
      <c r="A1" s="431"/>
      <c r="B1" s="431"/>
      <c r="C1" s="430"/>
      <c r="D1" s="430"/>
      <c r="E1" s="430"/>
      <c r="F1" s="430"/>
      <c r="G1" s="430"/>
      <c r="H1" s="430"/>
    </row>
    <row r="2" spans="1:9" ht="3.75" customHeight="1" thickBot="1">
      <c r="A2" s="442"/>
      <c r="B2" s="442"/>
      <c r="C2" s="442"/>
      <c r="D2" s="442"/>
      <c r="E2" s="442"/>
      <c r="F2" s="442"/>
      <c r="G2" s="442"/>
      <c r="H2" s="442"/>
    </row>
    <row r="3" spans="1:9" ht="20.100000000000001" customHeight="1" thickBot="1">
      <c r="A3" s="455" t="s">
        <v>4</v>
      </c>
      <c r="B3" s="456"/>
      <c r="C3" s="456"/>
      <c r="D3" s="456"/>
      <c r="E3" s="456"/>
      <c r="F3" s="456"/>
      <c r="G3" s="456"/>
      <c r="H3" s="457"/>
    </row>
    <row r="4" spans="1:9" ht="3.75" customHeight="1" thickBot="1">
      <c r="A4" s="15"/>
      <c r="B4" s="15"/>
      <c r="C4" s="15"/>
      <c r="D4" s="15"/>
      <c r="E4" s="15"/>
      <c r="F4" s="15"/>
      <c r="G4" s="15"/>
      <c r="H4" s="15"/>
    </row>
    <row r="5" spans="1:9" ht="20.100000000000001" customHeight="1">
      <c r="A5" s="446" t="s">
        <v>55</v>
      </c>
      <c r="B5" s="447"/>
      <c r="C5" s="447"/>
      <c r="D5" s="447"/>
      <c r="E5" s="448"/>
      <c r="F5" s="418" t="s">
        <v>56</v>
      </c>
      <c r="G5" s="419"/>
      <c r="H5" s="420"/>
    </row>
    <row r="6" spans="1:9" ht="20.100000000000001" customHeight="1">
      <c r="A6" s="449" t="s">
        <v>21</v>
      </c>
      <c r="B6" s="450"/>
      <c r="C6" s="450"/>
      <c r="D6" s="450"/>
      <c r="E6" s="451"/>
      <c r="F6" s="443" t="s">
        <v>10</v>
      </c>
      <c r="G6" s="444"/>
      <c r="H6" s="445"/>
    </row>
    <row r="7" spans="1:9" ht="20.100000000000001" customHeight="1">
      <c r="A7" s="433" t="s">
        <v>15</v>
      </c>
      <c r="B7" s="434"/>
      <c r="C7" s="434"/>
      <c r="D7" s="435"/>
      <c r="E7" s="452" t="s">
        <v>13</v>
      </c>
      <c r="F7" s="453"/>
      <c r="G7" s="453"/>
      <c r="H7" s="454"/>
    </row>
    <row r="8" spans="1:9" ht="20.100000000000001" customHeight="1">
      <c r="A8" s="433" t="s">
        <v>20</v>
      </c>
      <c r="B8" s="434"/>
      <c r="C8" s="434"/>
      <c r="D8" s="435"/>
      <c r="E8" s="428" t="s">
        <v>8</v>
      </c>
      <c r="F8" s="426" t="s">
        <v>6</v>
      </c>
      <c r="G8" s="16" t="s">
        <v>60</v>
      </c>
      <c r="H8" s="17" t="s">
        <v>7</v>
      </c>
    </row>
    <row r="9" spans="1:9" ht="20.100000000000001" customHeight="1" thickBot="1">
      <c r="A9" s="436" t="s">
        <v>14</v>
      </c>
      <c r="B9" s="437"/>
      <c r="C9" s="437"/>
      <c r="D9" s="438"/>
      <c r="E9" s="429"/>
      <c r="F9" s="427"/>
      <c r="G9" s="18" t="s">
        <v>9</v>
      </c>
      <c r="H9" s="51"/>
    </row>
    <row r="10" spans="1:9" ht="3.75" customHeight="1" thickBot="1">
      <c r="A10" s="421"/>
      <c r="B10" s="421"/>
      <c r="C10" s="421"/>
      <c r="D10" s="421"/>
      <c r="E10" s="421"/>
      <c r="F10" s="421"/>
      <c r="G10" s="421"/>
      <c r="H10" s="421"/>
    </row>
    <row r="11" spans="1:9" ht="39" thickBot="1">
      <c r="A11" s="19" t="s">
        <v>0</v>
      </c>
      <c r="B11" s="20" t="s">
        <v>5</v>
      </c>
      <c r="C11" s="20" t="s">
        <v>1</v>
      </c>
      <c r="D11" s="20" t="s">
        <v>3</v>
      </c>
      <c r="E11" s="20" t="s">
        <v>2</v>
      </c>
      <c r="F11" s="21" t="s">
        <v>18</v>
      </c>
      <c r="G11" s="21" t="s">
        <v>19</v>
      </c>
      <c r="H11" s="22" t="s">
        <v>11</v>
      </c>
    </row>
    <row r="12" spans="1:9" ht="18.75" customHeight="1">
      <c r="A12" s="23"/>
      <c r="B12" s="24"/>
      <c r="C12" s="25"/>
      <c r="D12" s="26"/>
      <c r="E12" s="27"/>
      <c r="F12" s="27"/>
      <c r="G12" s="10">
        <f>ROUND(F12+(F12*$H$9),2)</f>
        <v>0</v>
      </c>
      <c r="H12" s="11">
        <f>ROUND((E12*G12),2)</f>
        <v>0</v>
      </c>
    </row>
    <row r="13" spans="1:9" ht="18.75" customHeight="1">
      <c r="A13" s="28"/>
      <c r="B13" s="29"/>
      <c r="C13" s="30"/>
      <c r="D13" s="31"/>
      <c r="E13" s="32"/>
      <c r="F13" s="32"/>
      <c r="G13" s="10">
        <f>ROUND(F13+(F13*$H$9),2)</f>
        <v>0</v>
      </c>
      <c r="H13" s="11">
        <f>ROUND((E13*G13),2)</f>
        <v>0</v>
      </c>
    </row>
    <row r="14" spans="1:9" ht="18.75" customHeight="1">
      <c r="A14" s="28"/>
      <c r="B14" s="29"/>
      <c r="C14" s="30"/>
      <c r="D14" s="31"/>
      <c r="E14" s="32"/>
      <c r="F14" s="32"/>
      <c r="G14" s="10">
        <f t="shared" ref="G14:G40" si="0">ROUND(F14+(F14*$H$9),2)</f>
        <v>0</v>
      </c>
      <c r="H14" s="11">
        <f t="shared" ref="H14:H40" si="1">ROUND((E14*G14),2)</f>
        <v>0</v>
      </c>
      <c r="I14" s="9">
        <v>0</v>
      </c>
    </row>
    <row r="15" spans="1:9" ht="18.75" customHeight="1">
      <c r="A15" s="28"/>
      <c r="B15" s="29"/>
      <c r="C15" s="30"/>
      <c r="D15" s="31"/>
      <c r="E15" s="32"/>
      <c r="F15" s="32"/>
      <c r="G15" s="10">
        <f t="shared" si="0"/>
        <v>0</v>
      </c>
      <c r="H15" s="11">
        <f t="shared" si="1"/>
        <v>0</v>
      </c>
    </row>
    <row r="16" spans="1:9" ht="18.75" customHeight="1">
      <c r="A16" s="33"/>
      <c r="B16" s="34"/>
      <c r="C16" s="35"/>
      <c r="D16" s="31"/>
      <c r="E16" s="32"/>
      <c r="F16" s="32"/>
      <c r="G16" s="10">
        <f t="shared" si="0"/>
        <v>0</v>
      </c>
      <c r="H16" s="11">
        <f t="shared" si="1"/>
        <v>0</v>
      </c>
    </row>
    <row r="17" spans="1:8" ht="18.75" customHeight="1">
      <c r="A17" s="28"/>
      <c r="B17" s="29"/>
      <c r="C17" s="30"/>
      <c r="D17" s="31"/>
      <c r="E17" s="32"/>
      <c r="F17" s="32"/>
      <c r="G17" s="10">
        <f t="shared" si="0"/>
        <v>0</v>
      </c>
      <c r="H17" s="11">
        <f t="shared" si="1"/>
        <v>0</v>
      </c>
    </row>
    <row r="18" spans="1:8" ht="18.75" customHeight="1">
      <c r="A18" s="28"/>
      <c r="B18" s="36"/>
      <c r="C18" s="30"/>
      <c r="D18" s="31"/>
      <c r="E18" s="32"/>
      <c r="F18" s="32"/>
      <c r="G18" s="10">
        <f t="shared" si="0"/>
        <v>0</v>
      </c>
      <c r="H18" s="11">
        <f t="shared" si="1"/>
        <v>0</v>
      </c>
    </row>
    <row r="19" spans="1:8" ht="18.75" customHeight="1">
      <c r="A19" s="28"/>
      <c r="B19" s="36"/>
      <c r="C19" s="30"/>
      <c r="D19" s="36"/>
      <c r="E19" s="32"/>
      <c r="F19" s="32"/>
      <c r="G19" s="10">
        <f t="shared" si="0"/>
        <v>0</v>
      </c>
      <c r="H19" s="11">
        <f t="shared" si="1"/>
        <v>0</v>
      </c>
    </row>
    <row r="20" spans="1:8" ht="18.75" customHeight="1">
      <c r="A20" s="28"/>
      <c r="B20" s="36"/>
      <c r="C20" s="30"/>
      <c r="D20" s="31"/>
      <c r="E20" s="32"/>
      <c r="F20" s="32"/>
      <c r="G20" s="10">
        <f t="shared" si="0"/>
        <v>0</v>
      </c>
      <c r="H20" s="11">
        <f t="shared" si="1"/>
        <v>0</v>
      </c>
    </row>
    <row r="21" spans="1:8" ht="18.75" customHeight="1">
      <c r="A21" s="28"/>
      <c r="B21" s="36"/>
      <c r="C21" s="30"/>
      <c r="D21" s="36"/>
      <c r="E21" s="32"/>
      <c r="F21" s="32"/>
      <c r="G21" s="10">
        <f t="shared" si="0"/>
        <v>0</v>
      </c>
      <c r="H21" s="11">
        <f t="shared" si="1"/>
        <v>0</v>
      </c>
    </row>
    <row r="22" spans="1:8" ht="18.75" customHeight="1">
      <c r="A22" s="28"/>
      <c r="B22" s="36"/>
      <c r="C22" s="30"/>
      <c r="D22" s="36"/>
      <c r="E22" s="32"/>
      <c r="F22" s="32"/>
      <c r="G22" s="10">
        <f t="shared" si="0"/>
        <v>0</v>
      </c>
      <c r="H22" s="11">
        <f t="shared" si="1"/>
        <v>0</v>
      </c>
    </row>
    <row r="23" spans="1:8" ht="18.75" customHeight="1">
      <c r="A23" s="28"/>
      <c r="B23" s="36"/>
      <c r="C23" s="30"/>
      <c r="D23" s="31"/>
      <c r="E23" s="32"/>
      <c r="F23" s="32"/>
      <c r="G23" s="10">
        <f t="shared" si="0"/>
        <v>0</v>
      </c>
      <c r="H23" s="11">
        <f t="shared" si="1"/>
        <v>0</v>
      </c>
    </row>
    <row r="24" spans="1:8" ht="18.75" customHeight="1">
      <c r="A24" s="28"/>
      <c r="B24" s="36"/>
      <c r="C24" s="30"/>
      <c r="D24" s="36"/>
      <c r="E24" s="32"/>
      <c r="F24" s="32"/>
      <c r="G24" s="10">
        <f t="shared" si="0"/>
        <v>0</v>
      </c>
      <c r="H24" s="11">
        <f t="shared" si="1"/>
        <v>0</v>
      </c>
    </row>
    <row r="25" spans="1:8" ht="18.75" customHeight="1">
      <c r="A25" s="28"/>
      <c r="B25" s="36"/>
      <c r="C25" s="30"/>
      <c r="D25" s="36"/>
      <c r="E25" s="32"/>
      <c r="F25" s="32"/>
      <c r="G25" s="10">
        <f t="shared" si="0"/>
        <v>0</v>
      </c>
      <c r="H25" s="11">
        <f t="shared" si="1"/>
        <v>0</v>
      </c>
    </row>
    <row r="26" spans="1:8" ht="18.75" customHeight="1">
      <c r="A26" s="28"/>
      <c r="B26" s="29"/>
      <c r="C26" s="30"/>
      <c r="D26" s="31"/>
      <c r="E26" s="32"/>
      <c r="F26" s="32"/>
      <c r="G26" s="10">
        <f t="shared" si="0"/>
        <v>0</v>
      </c>
      <c r="H26" s="11">
        <f t="shared" si="1"/>
        <v>0</v>
      </c>
    </row>
    <row r="27" spans="1:8" ht="18.75" customHeight="1">
      <c r="A27" s="33"/>
      <c r="B27" s="34"/>
      <c r="C27" s="35"/>
      <c r="D27" s="31"/>
      <c r="E27" s="32"/>
      <c r="F27" s="32"/>
      <c r="G27" s="10">
        <f t="shared" si="0"/>
        <v>0</v>
      </c>
      <c r="H27" s="11">
        <f t="shared" si="1"/>
        <v>0</v>
      </c>
    </row>
    <row r="28" spans="1:8" ht="18.75" customHeight="1">
      <c r="A28" s="28"/>
      <c r="B28" s="36"/>
      <c r="C28" s="30"/>
      <c r="D28" s="31"/>
      <c r="E28" s="32"/>
      <c r="F28" s="32"/>
      <c r="G28" s="10">
        <f t="shared" si="0"/>
        <v>0</v>
      </c>
      <c r="H28" s="11">
        <f t="shared" si="1"/>
        <v>0</v>
      </c>
    </row>
    <row r="29" spans="1:8" ht="18.75" customHeight="1">
      <c r="A29" s="28"/>
      <c r="B29" s="29"/>
      <c r="C29" s="30"/>
      <c r="D29" s="31"/>
      <c r="E29" s="32"/>
      <c r="F29" s="32"/>
      <c r="G29" s="10">
        <f t="shared" si="0"/>
        <v>0</v>
      </c>
      <c r="H29" s="11">
        <f t="shared" si="1"/>
        <v>0</v>
      </c>
    </row>
    <row r="30" spans="1:8" ht="18.75" customHeight="1">
      <c r="A30" s="33"/>
      <c r="B30" s="34"/>
      <c r="C30" s="35"/>
      <c r="D30" s="31"/>
      <c r="E30" s="32"/>
      <c r="F30" s="32"/>
      <c r="G30" s="10">
        <f t="shared" si="0"/>
        <v>0</v>
      </c>
      <c r="H30" s="11">
        <f t="shared" si="1"/>
        <v>0</v>
      </c>
    </row>
    <row r="31" spans="1:8" ht="18.75" customHeight="1">
      <c r="A31" s="28"/>
      <c r="B31" s="36"/>
      <c r="C31" s="30"/>
      <c r="D31" s="31"/>
      <c r="E31" s="32"/>
      <c r="F31" s="32"/>
      <c r="G31" s="10">
        <f t="shared" si="0"/>
        <v>0</v>
      </c>
      <c r="H31" s="11">
        <f t="shared" si="1"/>
        <v>0</v>
      </c>
    </row>
    <row r="32" spans="1:8" ht="18.75" customHeight="1">
      <c r="A32" s="28"/>
      <c r="B32" s="29"/>
      <c r="C32" s="30"/>
      <c r="D32" s="31"/>
      <c r="E32" s="32"/>
      <c r="F32" s="32"/>
      <c r="G32" s="10">
        <f t="shared" si="0"/>
        <v>0</v>
      </c>
      <c r="H32" s="11">
        <f t="shared" si="1"/>
        <v>0</v>
      </c>
    </row>
    <row r="33" spans="1:8" ht="18.75" customHeight="1">
      <c r="A33" s="28"/>
      <c r="B33" s="29"/>
      <c r="C33" s="30"/>
      <c r="D33" s="31"/>
      <c r="E33" s="32"/>
      <c r="F33" s="32"/>
      <c r="G33" s="10">
        <f t="shared" si="0"/>
        <v>0</v>
      </c>
      <c r="H33" s="11">
        <f t="shared" si="1"/>
        <v>0</v>
      </c>
    </row>
    <row r="34" spans="1:8" ht="18.75" customHeight="1">
      <c r="A34" s="28"/>
      <c r="B34" s="29"/>
      <c r="C34" s="30"/>
      <c r="D34" s="31"/>
      <c r="E34" s="32"/>
      <c r="F34" s="32"/>
      <c r="G34" s="10">
        <f t="shared" si="0"/>
        <v>0</v>
      </c>
      <c r="H34" s="11">
        <f t="shared" si="1"/>
        <v>0</v>
      </c>
    </row>
    <row r="35" spans="1:8" ht="18.75" customHeight="1">
      <c r="A35" s="28"/>
      <c r="B35" s="29"/>
      <c r="C35" s="30"/>
      <c r="D35" s="31"/>
      <c r="E35" s="32"/>
      <c r="F35" s="32"/>
      <c r="G35" s="10">
        <f t="shared" si="0"/>
        <v>0</v>
      </c>
      <c r="H35" s="11">
        <f t="shared" si="1"/>
        <v>0</v>
      </c>
    </row>
    <row r="36" spans="1:8" ht="18.75" customHeight="1">
      <c r="A36" s="28"/>
      <c r="B36" s="29"/>
      <c r="C36" s="30"/>
      <c r="D36" s="31"/>
      <c r="E36" s="32"/>
      <c r="F36" s="32"/>
      <c r="G36" s="10">
        <f t="shared" si="0"/>
        <v>0</v>
      </c>
      <c r="H36" s="11">
        <f t="shared" si="1"/>
        <v>0</v>
      </c>
    </row>
    <row r="37" spans="1:8" ht="18.75" customHeight="1">
      <c r="A37" s="28"/>
      <c r="B37" s="29"/>
      <c r="C37" s="30"/>
      <c r="D37" s="31"/>
      <c r="E37" s="32"/>
      <c r="F37" s="32"/>
      <c r="G37" s="10">
        <f t="shared" si="0"/>
        <v>0</v>
      </c>
      <c r="H37" s="11">
        <f t="shared" si="1"/>
        <v>0</v>
      </c>
    </row>
    <row r="38" spans="1:8" ht="18.75" customHeight="1">
      <c r="A38" s="28"/>
      <c r="B38" s="29"/>
      <c r="C38" s="30"/>
      <c r="D38" s="31"/>
      <c r="E38" s="32"/>
      <c r="F38" s="32"/>
      <c r="G38" s="10">
        <f t="shared" si="0"/>
        <v>0</v>
      </c>
      <c r="H38" s="11">
        <f t="shared" si="1"/>
        <v>0</v>
      </c>
    </row>
    <row r="39" spans="1:8" ht="18.75" customHeight="1">
      <c r="A39" s="28"/>
      <c r="B39" s="29"/>
      <c r="C39" s="30"/>
      <c r="D39" s="37"/>
      <c r="E39" s="32"/>
      <c r="F39" s="32"/>
      <c r="G39" s="10">
        <f t="shared" si="0"/>
        <v>0</v>
      </c>
      <c r="H39" s="11">
        <f t="shared" si="1"/>
        <v>0</v>
      </c>
    </row>
    <row r="40" spans="1:8" ht="18.75" customHeight="1" thickBot="1">
      <c r="A40" s="38"/>
      <c r="B40" s="39"/>
      <c r="C40" s="40"/>
      <c r="D40" s="41"/>
      <c r="E40" s="42"/>
      <c r="F40" s="43"/>
      <c r="G40" s="10">
        <f t="shared" si="0"/>
        <v>0</v>
      </c>
      <c r="H40" s="11">
        <f t="shared" si="1"/>
        <v>0</v>
      </c>
    </row>
    <row r="41" spans="1:8" ht="18" customHeight="1" thickBot="1">
      <c r="A41" s="439" t="s">
        <v>54</v>
      </c>
      <c r="B41" s="440"/>
      <c r="C41" s="440"/>
      <c r="D41" s="440"/>
      <c r="E41" s="440"/>
      <c r="F41" s="440"/>
      <c r="G41" s="441"/>
      <c r="H41" s="44">
        <f>SUM(H12:H40)</f>
        <v>0</v>
      </c>
    </row>
    <row r="42" spans="1:8" ht="14.25" customHeight="1">
      <c r="A42" s="45"/>
      <c r="B42" s="45"/>
      <c r="C42" s="45"/>
      <c r="D42" s="45"/>
      <c r="E42" s="45"/>
      <c r="F42" s="45"/>
      <c r="G42" s="45"/>
      <c r="H42" s="46"/>
    </row>
    <row r="43" spans="1:8" ht="11.25" customHeight="1">
      <c r="A43" s="47"/>
      <c r="B43" s="47"/>
      <c r="C43" s="47"/>
      <c r="D43" s="47"/>
      <c r="E43" s="47"/>
      <c r="F43" s="47"/>
      <c r="G43" s="47"/>
      <c r="H43" s="47"/>
    </row>
    <row r="44" spans="1:8" ht="11.25" customHeight="1">
      <c r="A44" s="47"/>
      <c r="B44" s="425"/>
      <c r="C44" s="425"/>
      <c r="D44" s="47"/>
      <c r="E44" s="425"/>
      <c r="F44" s="425"/>
      <c r="G44" s="48"/>
      <c r="H44" s="47"/>
    </row>
    <row r="45" spans="1:8">
      <c r="A45" s="49"/>
      <c r="B45" s="432" t="s">
        <v>16</v>
      </c>
      <c r="C45" s="432"/>
      <c r="D45" s="49"/>
      <c r="E45" s="424" t="s">
        <v>12</v>
      </c>
      <c r="F45" s="424"/>
      <c r="G45" s="50"/>
      <c r="H45" s="49"/>
    </row>
    <row r="46" spans="1:8" hidden="1"/>
    <row r="49" spans="1:8" ht="11.25" customHeight="1">
      <c r="A49" s="47"/>
      <c r="B49" s="425"/>
      <c r="C49" s="425"/>
      <c r="D49" s="47"/>
      <c r="E49" s="422"/>
      <c r="F49" s="422"/>
      <c r="G49" s="48"/>
      <c r="H49" s="47"/>
    </row>
    <row r="50" spans="1:8">
      <c r="A50" s="49"/>
      <c r="B50" s="423" t="s">
        <v>17</v>
      </c>
      <c r="C50" s="423"/>
      <c r="D50" s="49"/>
      <c r="E50" s="424"/>
      <c r="F50" s="424"/>
      <c r="G50" s="50"/>
      <c r="H50" s="49"/>
    </row>
    <row r="51" spans="1:8">
      <c r="A51" s="49"/>
      <c r="B51" s="50"/>
      <c r="C51" s="50"/>
      <c r="D51" s="49"/>
      <c r="E51" s="50"/>
      <c r="F51" s="50"/>
      <c r="G51" s="50"/>
      <c r="H51" s="49"/>
    </row>
    <row r="52" spans="1:8" customFormat="1" ht="11.25" customHeight="1"/>
    <row r="53" spans="1:8" customFormat="1" ht="12" customHeight="1"/>
    <row r="54" spans="1:8" customFormat="1" ht="14.1" customHeight="1"/>
    <row r="55" spans="1:8" ht="14.1" customHeight="1"/>
    <row r="56" spans="1:8" ht="4.5" customHeight="1"/>
  </sheetData>
  <mergeCells count="24">
    <mergeCell ref="C1:H1"/>
    <mergeCell ref="A1:B1"/>
    <mergeCell ref="B45:C45"/>
    <mergeCell ref="E45:F45"/>
    <mergeCell ref="E44:F44"/>
    <mergeCell ref="B44:C44"/>
    <mergeCell ref="A7:D7"/>
    <mergeCell ref="A9:D9"/>
    <mergeCell ref="A8:D8"/>
    <mergeCell ref="A41:G41"/>
    <mergeCell ref="A2:H2"/>
    <mergeCell ref="F6:H6"/>
    <mergeCell ref="A5:E5"/>
    <mergeCell ref="A6:E6"/>
    <mergeCell ref="E7:H7"/>
    <mergeCell ref="A3:H3"/>
    <mergeCell ref="F5:H5"/>
    <mergeCell ref="A10:H10"/>
    <mergeCell ref="E49:F49"/>
    <mergeCell ref="B50:C50"/>
    <mergeCell ref="E50:F50"/>
    <mergeCell ref="B49:C49"/>
    <mergeCell ref="F8:F9"/>
    <mergeCell ref="E8:E9"/>
  </mergeCells>
  <phoneticPr fontId="2" type="noConversion"/>
  <pageMargins left="0.78740157480314965" right="0.19685039370078741" top="0.39370078740157483" bottom="0.39370078740157483" header="0" footer="0"/>
  <pageSetup paperSize="9" scale="77" orientation="portrait" horizontalDpi="4294967295" r:id="rId1"/>
  <headerFooter alignWithMargins="0"/>
  <drawing r:id="rId2"/>
  <legacyDrawing r:id="rId3"/>
  <oleObjects>
    <oleObject progId="Word.Picture.8" shapeId="4099" r:id="rId4"/>
  </oleObjects>
</worksheet>
</file>

<file path=xl/worksheets/sheet6.xml><?xml version="1.0" encoding="utf-8"?>
<worksheet xmlns="http://schemas.openxmlformats.org/spreadsheetml/2006/main" xmlns:r="http://schemas.openxmlformats.org/officeDocument/2006/relationships">
  <dimension ref="A1:M44"/>
  <sheetViews>
    <sheetView showGridLines="0" showZeros="0" tabSelected="1" view="pageBreakPreview" topLeftCell="A10" zoomScaleSheetLayoutView="100" workbookViewId="0">
      <selection activeCell="M15" sqref="M15"/>
    </sheetView>
  </sheetViews>
  <sheetFormatPr defaultRowHeight="12.75"/>
  <cols>
    <col min="1" max="1" width="5.42578125" bestFit="1" customWidth="1"/>
    <col min="2" max="2" width="10.7109375" bestFit="1" customWidth="1"/>
    <col min="3" max="3" width="48.140625" customWidth="1"/>
    <col min="5" max="5" width="10.5703125" customWidth="1"/>
    <col min="6" max="7" width="12.28515625" customWidth="1"/>
    <col min="8" max="8" width="13.28515625" customWidth="1"/>
    <col min="9" max="9" width="21.7109375" customWidth="1"/>
  </cols>
  <sheetData>
    <row r="1" spans="1:13" ht="60.75" customHeight="1" thickBot="1">
      <c r="A1" s="484"/>
      <c r="B1" s="484"/>
      <c r="C1" s="483"/>
      <c r="D1" s="483"/>
      <c r="E1" s="483"/>
      <c r="F1" s="483"/>
      <c r="G1" s="483"/>
      <c r="H1" s="483"/>
    </row>
    <row r="2" spans="1:13" ht="16.5" thickBot="1">
      <c r="A2" s="458" t="s">
        <v>59</v>
      </c>
      <c r="B2" s="459"/>
      <c r="C2" s="459"/>
      <c r="D2" s="459"/>
      <c r="E2" s="459"/>
      <c r="F2" s="459"/>
      <c r="G2" s="459"/>
      <c r="H2" s="460"/>
    </row>
    <row r="3" spans="1:13" ht="3.75" customHeight="1" thickBot="1">
      <c r="A3" s="494"/>
      <c r="B3" s="494"/>
      <c r="C3" s="494"/>
      <c r="D3" s="494"/>
      <c r="E3" s="494"/>
      <c r="F3" s="494"/>
      <c r="G3" s="494"/>
      <c r="H3" s="494"/>
    </row>
    <row r="4" spans="1:13" ht="20.100000000000001" customHeight="1" thickBot="1">
      <c r="A4" s="477" t="s">
        <v>4</v>
      </c>
      <c r="B4" s="478"/>
      <c r="C4" s="478"/>
      <c r="D4" s="478"/>
      <c r="E4" s="478"/>
      <c r="F4" s="478"/>
      <c r="G4" s="478"/>
      <c r="H4" s="479"/>
    </row>
    <row r="5" spans="1:13" ht="3.75" customHeight="1" thickBot="1">
      <c r="A5" s="7"/>
      <c r="B5" s="7"/>
      <c r="C5" s="7"/>
      <c r="D5" s="7"/>
      <c r="E5" s="7"/>
      <c r="F5" s="7"/>
      <c r="G5" s="7"/>
      <c r="H5" s="7"/>
    </row>
    <row r="6" spans="1:13" ht="20.100000000000001" customHeight="1">
      <c r="A6" s="468" t="s">
        <v>144</v>
      </c>
      <c r="B6" s="469"/>
      <c r="C6" s="469"/>
      <c r="D6" s="469"/>
      <c r="E6" s="470"/>
      <c r="F6" s="480" t="s">
        <v>157</v>
      </c>
      <c r="G6" s="481"/>
      <c r="H6" s="482"/>
    </row>
    <row r="7" spans="1:13" ht="20.100000000000001" customHeight="1">
      <c r="A7" s="471" t="s">
        <v>145</v>
      </c>
      <c r="B7" s="472"/>
      <c r="C7" s="472"/>
      <c r="D7" s="472"/>
      <c r="E7" s="473"/>
      <c r="F7" s="465" t="s">
        <v>274</v>
      </c>
      <c r="G7" s="466"/>
      <c r="H7" s="467"/>
    </row>
    <row r="8" spans="1:13" ht="20.100000000000001" customHeight="1">
      <c r="A8" s="485" t="s">
        <v>158</v>
      </c>
      <c r="B8" s="486"/>
      <c r="C8" s="486"/>
      <c r="D8" s="487"/>
      <c r="E8" s="474" t="s">
        <v>13</v>
      </c>
      <c r="F8" s="475"/>
      <c r="G8" s="475"/>
      <c r="H8" s="476"/>
    </row>
    <row r="9" spans="1:13" ht="20.100000000000001" customHeight="1">
      <c r="A9" s="485" t="s">
        <v>275</v>
      </c>
      <c r="B9" s="486"/>
      <c r="C9" s="486"/>
      <c r="D9" s="487"/>
      <c r="E9" s="463" t="s">
        <v>8</v>
      </c>
      <c r="F9" s="461" t="s">
        <v>6</v>
      </c>
      <c r="G9" s="6" t="s">
        <v>147</v>
      </c>
      <c r="H9" s="3" t="s">
        <v>7</v>
      </c>
    </row>
    <row r="10" spans="1:13" ht="20.100000000000001" customHeight="1" thickBot="1">
      <c r="A10" s="488" t="s">
        <v>146</v>
      </c>
      <c r="B10" s="489"/>
      <c r="C10" s="489"/>
      <c r="D10" s="490"/>
      <c r="E10" s="464"/>
      <c r="F10" s="462"/>
      <c r="G10" s="8" t="s">
        <v>9</v>
      </c>
      <c r="H10" s="226">
        <f>BDI!I7</f>
        <v>0.26850000000000002</v>
      </c>
      <c r="K10" s="287">
        <v>0.24229999999999999</v>
      </c>
      <c r="L10">
        <f>K10*F14</f>
        <v>271.73218099999997</v>
      </c>
      <c r="M10" s="14">
        <f>F14+L10</f>
        <v>1393.2021810000001</v>
      </c>
    </row>
    <row r="11" spans="1:13" ht="3.75" customHeight="1" thickBot="1">
      <c r="A11" s="493"/>
      <c r="B11" s="493"/>
      <c r="C11" s="493"/>
      <c r="D11" s="493"/>
      <c r="E11" s="493"/>
      <c r="F11" s="493"/>
      <c r="G11" s="493"/>
      <c r="H11" s="493"/>
    </row>
    <row r="12" spans="1:13" ht="39" thickBot="1">
      <c r="A12" s="242" t="s">
        <v>0</v>
      </c>
      <c r="B12" s="243" t="s">
        <v>5</v>
      </c>
      <c r="C12" s="243" t="s">
        <v>1</v>
      </c>
      <c r="D12" s="243" t="s">
        <v>3</v>
      </c>
      <c r="E12" s="243" t="s">
        <v>2</v>
      </c>
      <c r="F12" s="244" t="s">
        <v>18</v>
      </c>
      <c r="G12" s="244" t="s">
        <v>19</v>
      </c>
      <c r="H12" s="245" t="s">
        <v>11</v>
      </c>
    </row>
    <row r="13" spans="1:13" s="52" customFormat="1" ht="18" customHeight="1">
      <c r="A13" s="246">
        <v>1</v>
      </c>
      <c r="B13" s="247" t="s">
        <v>24</v>
      </c>
      <c r="C13" s="248" t="s">
        <v>25</v>
      </c>
      <c r="D13" s="249"/>
      <c r="E13" s="250"/>
      <c r="F13" s="250"/>
      <c r="G13" s="250"/>
      <c r="H13" s="251">
        <f>SUM(H14:H15)</f>
        <v>3398.8999999999996</v>
      </c>
    </row>
    <row r="14" spans="1:13" ht="56.25">
      <c r="A14" s="252" t="s">
        <v>23</v>
      </c>
      <c r="B14" s="253" t="s">
        <v>27</v>
      </c>
      <c r="C14" s="254" t="s">
        <v>206</v>
      </c>
      <c r="D14" s="255" t="s">
        <v>28</v>
      </c>
      <c r="E14" s="256">
        <f>Memoria!I13</f>
        <v>1</v>
      </c>
      <c r="F14" s="338">
        <v>1121.47</v>
      </c>
      <c r="G14" s="338">
        <f>F14*(1+$H$10)</f>
        <v>1422.584695</v>
      </c>
      <c r="H14" s="334">
        <f>TRUNC(E14*G14,2)</f>
        <v>1422.58</v>
      </c>
      <c r="I14" s="353">
        <f>H14/H$33</f>
        <v>1.1576183973587117E-2</v>
      </c>
      <c r="J14">
        <f>F14*H10</f>
        <v>301.11469500000004</v>
      </c>
      <c r="K14" s="14">
        <f>J14+F14</f>
        <v>1422.584695</v>
      </c>
    </row>
    <row r="15" spans="1:13" ht="15" customHeight="1">
      <c r="A15" s="252" t="s">
        <v>26</v>
      </c>
      <c r="B15" s="253" t="s">
        <v>207</v>
      </c>
      <c r="C15" s="254" t="s">
        <v>208</v>
      </c>
      <c r="D15" s="255" t="s">
        <v>28</v>
      </c>
      <c r="E15" s="256">
        <f>'Memoria de Calculo'!D9</f>
        <v>19</v>
      </c>
      <c r="F15" s="338">
        <v>82</v>
      </c>
      <c r="G15" s="338">
        <f>F15*(1+$H$10)</f>
        <v>104.017</v>
      </c>
      <c r="H15" s="334">
        <f>TRUNC(E15*G15,2)</f>
        <v>1976.32</v>
      </c>
      <c r="I15" s="353">
        <f t="shared" ref="I15:I31" si="0">H15/H$33</f>
        <v>1.6082219566337E-2</v>
      </c>
    </row>
    <row r="16" spans="1:13" ht="15" customHeight="1">
      <c r="A16" s="252"/>
      <c r="B16" s="253"/>
      <c r="C16" s="254"/>
      <c r="D16" s="255"/>
      <c r="E16" s="256"/>
      <c r="F16" s="339"/>
      <c r="G16" s="338"/>
      <c r="H16" s="334"/>
      <c r="I16" s="353">
        <f t="shared" si="0"/>
        <v>0</v>
      </c>
    </row>
    <row r="17" spans="1:11" ht="18" customHeight="1">
      <c r="A17" s="257">
        <v>2</v>
      </c>
      <c r="B17" s="258" t="s">
        <v>29</v>
      </c>
      <c r="C17" s="259" t="s">
        <v>30</v>
      </c>
      <c r="D17" s="255"/>
      <c r="E17" s="256"/>
      <c r="F17" s="338"/>
      <c r="G17" s="338"/>
      <c r="H17" s="260">
        <f>SUM(H18:H26)</f>
        <v>94779.139999999985</v>
      </c>
      <c r="I17" s="353"/>
    </row>
    <row r="18" spans="1:11" s="218" customFormat="1" ht="15" customHeight="1">
      <c r="A18" s="252" t="s">
        <v>31</v>
      </c>
      <c r="B18" s="253" t="s">
        <v>149</v>
      </c>
      <c r="C18" s="261" t="s">
        <v>130</v>
      </c>
      <c r="D18" s="255" t="s">
        <v>43</v>
      </c>
      <c r="E18" s="256">
        <f>'Memoria de Calculo'!D11</f>
        <v>226.88</v>
      </c>
      <c r="F18" s="340">
        <f>Orçamento!E11</f>
        <v>40.229999999999997</v>
      </c>
      <c r="G18" s="338">
        <f t="shared" ref="G18:G31" si="1">F18*(1+$H$10)</f>
        <v>51.031754999999997</v>
      </c>
      <c r="H18" s="334">
        <f>TRUNC(E18*G18,2)</f>
        <v>11578.08</v>
      </c>
      <c r="I18" s="353">
        <f t="shared" si="0"/>
        <v>9.4216131353533392E-2</v>
      </c>
      <c r="J18" s="218">
        <f>I18/28.97</f>
        <v>3.252196456801291E-3</v>
      </c>
      <c r="K18" s="288">
        <f>(8+27.2+7)/3</f>
        <v>14.066666666666668</v>
      </c>
    </row>
    <row r="19" spans="1:11">
      <c r="A19" s="252" t="s">
        <v>32</v>
      </c>
      <c r="B19" s="253" t="s">
        <v>40</v>
      </c>
      <c r="C19" s="254" t="s">
        <v>41</v>
      </c>
      <c r="D19" s="262" t="s">
        <v>22</v>
      </c>
      <c r="E19" s="256">
        <f>'Memoria de Calculo'!D18</f>
        <v>1512.52</v>
      </c>
      <c r="F19" s="340">
        <v>0.87</v>
      </c>
      <c r="G19" s="338">
        <f t="shared" si="1"/>
        <v>1.1035949999999999</v>
      </c>
      <c r="H19" s="334">
        <f t="shared" ref="H19:H26" si="2">TRUNC(E19*G19,2)</f>
        <v>1669.2</v>
      </c>
      <c r="I19" s="353">
        <f t="shared" si="0"/>
        <v>1.3583043687322764E-2</v>
      </c>
    </row>
    <row r="20" spans="1:11" s="52" customFormat="1" ht="58.5" customHeight="1">
      <c r="A20" s="252" t="s">
        <v>33</v>
      </c>
      <c r="B20" s="263" t="s">
        <v>42</v>
      </c>
      <c r="C20" s="254" t="s">
        <v>58</v>
      </c>
      <c r="D20" s="255" t="s">
        <v>43</v>
      </c>
      <c r="E20" s="256">
        <f>'Memoria de Calculo'!D25</f>
        <v>302.51</v>
      </c>
      <c r="F20" s="338">
        <v>14.98</v>
      </c>
      <c r="G20" s="338">
        <f t="shared" si="1"/>
        <v>19.002130000000001</v>
      </c>
      <c r="H20" s="334">
        <f t="shared" si="2"/>
        <v>5748.33</v>
      </c>
      <c r="I20" s="353">
        <f t="shared" si="0"/>
        <v>4.6776789791006503E-2</v>
      </c>
    </row>
    <row r="21" spans="1:11" ht="25.5" customHeight="1">
      <c r="A21" s="252" t="s">
        <v>34</v>
      </c>
      <c r="B21" s="263" t="s">
        <v>150</v>
      </c>
      <c r="C21" s="254" t="s">
        <v>151</v>
      </c>
      <c r="D21" s="263" t="s">
        <v>44</v>
      </c>
      <c r="E21" s="256">
        <f>'Memoria de Calculo'!D32</f>
        <v>3403.16</v>
      </c>
      <c r="F21" s="338">
        <v>1.01</v>
      </c>
      <c r="G21" s="338">
        <f t="shared" si="1"/>
        <v>1.281185</v>
      </c>
      <c r="H21" s="334">
        <f t="shared" si="2"/>
        <v>4360.07</v>
      </c>
      <c r="I21" s="353">
        <f t="shared" si="0"/>
        <v>3.5479883351177424E-2</v>
      </c>
    </row>
    <row r="22" spans="1:11" ht="22.5">
      <c r="A22" s="252" t="s">
        <v>35</v>
      </c>
      <c r="B22" s="263" t="s">
        <v>45</v>
      </c>
      <c r="C22" s="254" t="s">
        <v>57</v>
      </c>
      <c r="D22" s="263" t="s">
        <v>46</v>
      </c>
      <c r="E22" s="256">
        <f>'Memoria de Calculo'!D39</f>
        <v>94.76</v>
      </c>
      <c r="F22" s="338">
        <v>0.53</v>
      </c>
      <c r="G22" s="338">
        <f t="shared" si="1"/>
        <v>0.67230500000000004</v>
      </c>
      <c r="H22" s="334">
        <f t="shared" si="2"/>
        <v>63.7</v>
      </c>
      <c r="I22" s="353">
        <f t="shared" si="0"/>
        <v>5.1835602856605564E-4</v>
      </c>
    </row>
    <row r="23" spans="1:11" ht="33.75">
      <c r="A23" s="252" t="s">
        <v>36</v>
      </c>
      <c r="B23" s="263" t="s">
        <v>48</v>
      </c>
      <c r="C23" s="254" t="s">
        <v>161</v>
      </c>
      <c r="D23" s="263" t="s">
        <v>22</v>
      </c>
      <c r="E23" s="256">
        <f>'Memoria de Calculo'!D46</f>
        <v>1512.52</v>
      </c>
      <c r="F23" s="338">
        <v>6.7</v>
      </c>
      <c r="G23" s="338">
        <f t="shared" si="1"/>
        <v>8.4989500000000007</v>
      </c>
      <c r="H23" s="334">
        <f t="shared" si="2"/>
        <v>12854.83</v>
      </c>
      <c r="I23" s="353">
        <f t="shared" si="0"/>
        <v>0.10460562993236716</v>
      </c>
      <c r="J23">
        <v>1521.52</v>
      </c>
    </row>
    <row r="24" spans="1:11" ht="33.75">
      <c r="A24" s="252" t="s">
        <v>37</v>
      </c>
      <c r="B24" s="263" t="s">
        <v>47</v>
      </c>
      <c r="C24" s="254" t="s">
        <v>163</v>
      </c>
      <c r="D24" s="255" t="s">
        <v>22</v>
      </c>
      <c r="E24" s="256">
        <f>'Memoria de Calculo'!D53</f>
        <v>1374.79</v>
      </c>
      <c r="F24" s="338">
        <v>1.54</v>
      </c>
      <c r="G24" s="338">
        <f t="shared" si="1"/>
        <v>1.9534899999999999</v>
      </c>
      <c r="H24" s="334">
        <f t="shared" si="2"/>
        <v>2685.63</v>
      </c>
      <c r="I24" s="353">
        <f t="shared" si="0"/>
        <v>2.1854199387721443E-2</v>
      </c>
    </row>
    <row r="25" spans="1:11" ht="69.75" customHeight="1">
      <c r="A25" s="252" t="s">
        <v>38</v>
      </c>
      <c r="B25" s="263" t="s">
        <v>49</v>
      </c>
      <c r="C25" s="323" t="s">
        <v>162</v>
      </c>
      <c r="D25" s="263" t="s">
        <v>43</v>
      </c>
      <c r="E25" s="256">
        <f>'Memoria de Calculo'!D60</f>
        <v>54.989999999999995</v>
      </c>
      <c r="F25" s="338">
        <v>749.42</v>
      </c>
      <c r="G25" s="338">
        <f t="shared" si="1"/>
        <v>950.6392699999999</v>
      </c>
      <c r="H25" s="334">
        <f t="shared" si="2"/>
        <v>52275.65</v>
      </c>
      <c r="I25" s="353">
        <f t="shared" si="0"/>
        <v>0.42539086851976649</v>
      </c>
    </row>
    <row r="26" spans="1:11" ht="36" customHeight="1">
      <c r="A26" s="252" t="s">
        <v>39</v>
      </c>
      <c r="B26" s="263" t="s">
        <v>204</v>
      </c>
      <c r="C26" s="323" t="s">
        <v>205</v>
      </c>
      <c r="D26" s="263" t="s">
        <v>44</v>
      </c>
      <c r="E26" s="256">
        <f>'Memoria de Calculo'!D67</f>
        <v>2199.67</v>
      </c>
      <c r="F26" s="338">
        <v>1.27</v>
      </c>
      <c r="G26" s="338">
        <f t="shared" si="1"/>
        <v>1.610995</v>
      </c>
      <c r="H26" s="334">
        <f t="shared" si="2"/>
        <v>3543.65</v>
      </c>
      <c r="I26" s="353">
        <f t="shared" si="0"/>
        <v>2.8836300480817943E-2</v>
      </c>
    </row>
    <row r="27" spans="1:11" ht="18" customHeight="1">
      <c r="A27" s="252"/>
      <c r="B27" s="253"/>
      <c r="C27" s="254"/>
      <c r="D27" s="255"/>
      <c r="E27" s="256"/>
      <c r="F27" s="338"/>
      <c r="G27" s="338"/>
      <c r="H27" s="334"/>
      <c r="I27" s="353">
        <f t="shared" si="0"/>
        <v>0</v>
      </c>
    </row>
    <row r="28" spans="1:11" ht="18" customHeight="1">
      <c r="A28" s="257">
        <v>3</v>
      </c>
      <c r="B28" s="258" t="s">
        <v>52</v>
      </c>
      <c r="C28" s="259" t="s">
        <v>53</v>
      </c>
      <c r="D28" s="255"/>
      <c r="E28" s="256"/>
      <c r="F28" s="338"/>
      <c r="G28" s="338"/>
      <c r="H28" s="335">
        <f>SUM(H29:H31)</f>
        <v>24710.47</v>
      </c>
      <c r="I28" s="353"/>
    </row>
    <row r="29" spans="1:11" ht="33.75">
      <c r="A29" s="252" t="s">
        <v>50</v>
      </c>
      <c r="B29" s="263" t="s">
        <v>152</v>
      </c>
      <c r="C29" s="254" t="s">
        <v>153</v>
      </c>
      <c r="D29" s="255" t="s">
        <v>51</v>
      </c>
      <c r="E29" s="256">
        <v>458.86829999999998</v>
      </c>
      <c r="F29" s="338">
        <v>33.9</v>
      </c>
      <c r="G29" s="338">
        <f t="shared" si="1"/>
        <v>43.00215</v>
      </c>
      <c r="H29" s="334">
        <f t="shared" ref="H29:H31" si="3">TRUNC(E29*G29,2)</f>
        <v>19732.32</v>
      </c>
      <c r="I29" s="353">
        <f t="shared" si="0"/>
        <v>0.160570910982646</v>
      </c>
    </row>
    <row r="30" spans="1:11" ht="38.25" customHeight="1">
      <c r="A30" s="252" t="s">
        <v>131</v>
      </c>
      <c r="B30" s="253" t="s">
        <v>154</v>
      </c>
      <c r="C30" s="254" t="s">
        <v>155</v>
      </c>
      <c r="D30" s="255" t="s">
        <v>51</v>
      </c>
      <c r="E30" s="256">
        <f>'Memoria de Calculo'!D82</f>
        <v>146.30000000000001</v>
      </c>
      <c r="F30" s="338">
        <v>7.12</v>
      </c>
      <c r="G30" s="338">
        <f t="shared" si="1"/>
        <v>9.03172</v>
      </c>
      <c r="H30" s="334">
        <f t="shared" si="3"/>
        <v>1321.34</v>
      </c>
      <c r="I30" s="353">
        <f t="shared" si="0"/>
        <v>1.0752347798830013E-2</v>
      </c>
    </row>
    <row r="31" spans="1:11" ht="35.25" customHeight="1">
      <c r="A31" s="252" t="s">
        <v>193</v>
      </c>
      <c r="B31" s="253" t="s">
        <v>192</v>
      </c>
      <c r="C31" s="254" t="s">
        <v>194</v>
      </c>
      <c r="D31" s="255" t="s">
        <v>195</v>
      </c>
      <c r="E31" s="256">
        <f>'Memoria de Calculo'!D89</f>
        <v>9</v>
      </c>
      <c r="F31" s="338">
        <v>320.31</v>
      </c>
      <c r="G31" s="338">
        <f t="shared" si="1"/>
        <v>406.31323499999996</v>
      </c>
      <c r="H31" s="334">
        <f t="shared" si="3"/>
        <v>3656.81</v>
      </c>
      <c r="I31" s="353">
        <f t="shared" si="0"/>
        <v>2.9757135146320845E-2</v>
      </c>
    </row>
    <row r="32" spans="1:11" ht="18" customHeight="1" thickBot="1">
      <c r="A32" s="264"/>
      <c r="B32" s="265"/>
      <c r="C32" s="266"/>
      <c r="D32" s="267"/>
      <c r="E32" s="268"/>
      <c r="F32" s="269"/>
      <c r="G32" s="269">
        <f>F32*$H$10</f>
        <v>0</v>
      </c>
      <c r="H32" s="336"/>
    </row>
    <row r="33" spans="1:9" ht="18" customHeight="1" thickBot="1">
      <c r="A33" s="491" t="s">
        <v>54</v>
      </c>
      <c r="B33" s="492"/>
      <c r="C33" s="492"/>
      <c r="D33" s="492"/>
      <c r="E33" s="492"/>
      <c r="F33" s="492"/>
      <c r="G33" s="492"/>
      <c r="H33" s="337">
        <f>SUM(H28+H17+H13)</f>
        <v>122888.50999999998</v>
      </c>
      <c r="I33" s="14">
        <f>105000-H33</f>
        <v>-17888.50999999998</v>
      </c>
    </row>
    <row r="34" spans="1:9" ht="14.25" customHeight="1">
      <c r="A34" s="12"/>
      <c r="B34" s="12"/>
      <c r="C34" s="12"/>
      <c r="D34" s="12"/>
      <c r="E34" s="12"/>
      <c r="F34" s="12"/>
      <c r="G34" s="12"/>
      <c r="H34" s="13"/>
    </row>
    <row r="35" spans="1:9" ht="11.25" customHeight="1">
      <c r="A35" s="1"/>
      <c r="B35" s="356"/>
      <c r="C35" s="356"/>
      <c r="D35" s="1"/>
      <c r="E35" s="382" t="s">
        <v>148</v>
      </c>
      <c r="F35" s="356"/>
      <c r="G35" s="4"/>
      <c r="H35" s="1"/>
    </row>
    <row r="36" spans="1:9">
      <c r="A36" s="2"/>
      <c r="B36" s="354" t="s">
        <v>16</v>
      </c>
      <c r="C36" s="354"/>
      <c r="D36" s="2"/>
      <c r="E36" s="358" t="s">
        <v>12</v>
      </c>
      <c r="F36" s="358"/>
      <c r="G36" s="5"/>
      <c r="H36" s="2"/>
    </row>
    <row r="38" spans="1:9" ht="11.25" customHeight="1">
      <c r="A38" s="1"/>
      <c r="B38" s="356"/>
      <c r="C38" s="356"/>
      <c r="D38" s="1"/>
      <c r="E38" s="357"/>
      <c r="F38" s="357"/>
      <c r="G38" s="4"/>
      <c r="H38" s="1"/>
    </row>
    <row r="39" spans="1:9">
      <c r="A39" s="2"/>
      <c r="B39" s="358" t="s">
        <v>17</v>
      </c>
      <c r="C39" s="358"/>
      <c r="D39" s="2"/>
      <c r="E39" s="355"/>
      <c r="F39" s="355"/>
      <c r="G39" s="5"/>
      <c r="H39" s="2"/>
    </row>
    <row r="40" spans="1:9" ht="12" customHeight="1"/>
    <row r="41" spans="1:9" ht="11.25" customHeight="1"/>
    <row r="42" spans="1:9" ht="12" customHeight="1"/>
    <row r="43" spans="1:9" ht="14.1" customHeight="1"/>
    <row r="44" spans="1:9" ht="4.5" customHeight="1"/>
  </sheetData>
  <mergeCells count="25">
    <mergeCell ref="C1:H1"/>
    <mergeCell ref="A1:B1"/>
    <mergeCell ref="B36:C36"/>
    <mergeCell ref="E36:F36"/>
    <mergeCell ref="E35:F35"/>
    <mergeCell ref="B35:C35"/>
    <mergeCell ref="A8:D8"/>
    <mergeCell ref="A10:D10"/>
    <mergeCell ref="A9:D9"/>
    <mergeCell ref="A33:G33"/>
    <mergeCell ref="A11:H11"/>
    <mergeCell ref="A3:H3"/>
    <mergeCell ref="E38:F38"/>
    <mergeCell ref="B39:C39"/>
    <mergeCell ref="E39:F39"/>
    <mergeCell ref="B38:C38"/>
    <mergeCell ref="A2:H2"/>
    <mergeCell ref="F9:F10"/>
    <mergeCell ref="E9:E10"/>
    <mergeCell ref="F7:H7"/>
    <mergeCell ref="A6:E6"/>
    <mergeCell ref="A7:E7"/>
    <mergeCell ref="E8:H8"/>
    <mergeCell ref="A4:H4"/>
    <mergeCell ref="F6:H6"/>
  </mergeCells>
  <phoneticPr fontId="2" type="noConversion"/>
  <pageMargins left="0.78740157480314965" right="0.19685039370078741" top="0.39370078740157483" bottom="0.39370078740157483" header="0" footer="0"/>
  <pageSetup paperSize="9" scale="76" orientation="portrait" r:id="rId1"/>
  <headerFooter alignWithMargins="0"/>
  <drawing r:id="rId2"/>
  <legacyDrawing r:id="rId3"/>
  <oleObjects>
    <oleObject progId="Word.Picture.8" shapeId="5123" r:id="rId4"/>
  </oleObjects>
</worksheet>
</file>

<file path=xl/worksheets/sheet7.xml><?xml version="1.0" encoding="utf-8"?>
<worksheet xmlns="http://schemas.openxmlformats.org/spreadsheetml/2006/main" xmlns:r="http://schemas.openxmlformats.org/officeDocument/2006/relationships">
  <dimension ref="A1:M37"/>
  <sheetViews>
    <sheetView view="pageBreakPreview" topLeftCell="A19" zoomScaleSheetLayoutView="100" workbookViewId="0">
      <selection activeCell="C40" sqref="C40"/>
    </sheetView>
  </sheetViews>
  <sheetFormatPr defaultRowHeight="12.75"/>
  <cols>
    <col min="3" max="3" width="34.42578125" customWidth="1"/>
    <col min="4" max="4" width="15.28515625" customWidth="1"/>
    <col min="5" max="5" width="12.28515625" customWidth="1"/>
    <col min="6" max="6" width="13" customWidth="1"/>
    <col min="7" max="7" width="13.140625" customWidth="1"/>
    <col min="8" max="8" width="12.28515625" customWidth="1"/>
    <col min="9" max="9" width="12.140625" customWidth="1"/>
    <col min="10" max="10" width="11.42578125" customWidth="1"/>
    <col min="11" max="11" width="12.42578125" customWidth="1"/>
    <col min="13" max="13" width="11.28515625" bestFit="1" customWidth="1"/>
  </cols>
  <sheetData>
    <row r="1" spans="1:11" ht="15.75" customHeight="1">
      <c r="A1" s="53"/>
      <c r="B1" s="54"/>
      <c r="C1" s="54"/>
      <c r="D1" s="55"/>
      <c r="E1" s="55"/>
      <c r="F1" s="55"/>
      <c r="G1" s="55"/>
      <c r="H1" s="55"/>
      <c r="I1" s="54"/>
      <c r="J1" s="54"/>
      <c r="K1" s="56"/>
    </row>
    <row r="2" spans="1:11">
      <c r="A2" s="346"/>
      <c r="B2" s="57"/>
      <c r="C2" s="57"/>
      <c r="D2" s="58"/>
      <c r="E2" s="58"/>
      <c r="F2" s="58"/>
      <c r="G2" s="58"/>
      <c r="H2" s="58"/>
      <c r="I2" s="57"/>
      <c r="J2" s="57"/>
      <c r="K2" s="219"/>
    </row>
    <row r="3" spans="1:11" ht="47.25" customHeight="1">
      <c r="A3" s="521" t="s">
        <v>61</v>
      </c>
      <c r="B3" s="522"/>
      <c r="C3" s="522"/>
      <c r="D3" s="522"/>
      <c r="E3" s="522"/>
      <c r="F3" s="522"/>
      <c r="G3" s="522"/>
      <c r="H3" s="522"/>
      <c r="I3" s="522"/>
      <c r="J3" s="522"/>
      <c r="K3" s="523"/>
    </row>
    <row r="4" spans="1:11" ht="38.25" customHeight="1" thickBot="1">
      <c r="A4" s="347"/>
      <c r="B4" s="59"/>
      <c r="C4" s="59"/>
      <c r="D4" s="58"/>
      <c r="E4" s="58"/>
      <c r="F4" s="59"/>
      <c r="G4" s="59"/>
      <c r="H4" s="59"/>
      <c r="I4" s="59"/>
      <c r="J4" s="59"/>
      <c r="K4" s="79"/>
    </row>
    <row r="5" spans="1:11" ht="13.5" thickBot="1">
      <c r="A5" s="524" t="s">
        <v>61</v>
      </c>
      <c r="B5" s="525"/>
      <c r="C5" s="525"/>
      <c r="D5" s="525"/>
      <c r="E5" s="525"/>
      <c r="F5" s="525"/>
      <c r="G5" s="525"/>
      <c r="H5" s="525"/>
      <c r="I5" s="525"/>
      <c r="J5" s="525"/>
      <c r="K5" s="526"/>
    </row>
    <row r="6" spans="1:11">
      <c r="A6" s="527" t="str">
        <f>'Planilha Orçamentaria '!A6</f>
        <v xml:space="preserve">PREFEITURA: Municipal de Pains </v>
      </c>
      <c r="B6" s="528"/>
      <c r="C6" s="529"/>
      <c r="D6" s="530" t="s">
        <v>62</v>
      </c>
      <c r="E6" s="531"/>
      <c r="F6" s="532">
        <f>E26</f>
        <v>122888.50999999998</v>
      </c>
      <c r="G6" s="532"/>
      <c r="H6" s="60"/>
      <c r="I6" s="533" t="str">
        <f>'Planilha Orçamentaria '!F7</f>
        <v>DATA: 30/08/2021</v>
      </c>
      <c r="J6" s="533"/>
      <c r="K6" s="534"/>
    </row>
    <row r="7" spans="1:11" ht="13.5" thickBot="1">
      <c r="A7" s="513" t="str">
        <f>'Planilha Orçamentaria '!A7</f>
        <v>OBRA: Pavimentação asfáltica em C.B.U.Q</v>
      </c>
      <c r="B7" s="514"/>
      <c r="C7" s="515"/>
      <c r="D7" s="514" t="str">
        <f>'Planilha Orçamentaria '!A8</f>
        <v>LOCAL: Rua Arlindo Paiva de Oliveira e Rua João Coelho, Bairro Alvorada</v>
      </c>
      <c r="E7" s="514"/>
      <c r="F7" s="514"/>
      <c r="G7" s="514"/>
      <c r="H7" s="514"/>
      <c r="I7" s="516" t="str">
        <f>'Planilha Orçamentaria '!A10</f>
        <v>PRAZO DE EXECUÇÃO:  3 Meses</v>
      </c>
      <c r="J7" s="514"/>
      <c r="K7" s="517"/>
    </row>
    <row r="8" spans="1:11" ht="26.25" thickBot="1">
      <c r="A8" s="61" t="s">
        <v>0</v>
      </c>
      <c r="B8" s="62" t="s">
        <v>5</v>
      </c>
      <c r="C8" s="63" t="s">
        <v>63</v>
      </c>
      <c r="D8" s="64" t="s">
        <v>64</v>
      </c>
      <c r="E8" s="64" t="s">
        <v>65</v>
      </c>
      <c r="F8" s="62" t="s">
        <v>66</v>
      </c>
      <c r="G8" s="62" t="s">
        <v>67</v>
      </c>
      <c r="H8" s="62" t="s">
        <v>68</v>
      </c>
      <c r="I8" s="62"/>
      <c r="J8" s="62"/>
      <c r="K8" s="65"/>
    </row>
    <row r="9" spans="1:11">
      <c r="A9" s="518">
        <v>1</v>
      </c>
      <c r="B9" s="519" t="s">
        <v>24</v>
      </c>
      <c r="C9" s="520" t="s">
        <v>25</v>
      </c>
      <c r="D9" s="227" t="s">
        <v>69</v>
      </c>
      <c r="E9" s="228">
        <f>E10/$E$26</f>
        <v>2.7658403539924117E-2</v>
      </c>
      <c r="F9" s="228">
        <v>1</v>
      </c>
      <c r="G9" s="229"/>
      <c r="H9" s="229"/>
      <c r="I9" s="230"/>
      <c r="J9" s="229"/>
      <c r="K9" s="231"/>
    </row>
    <row r="10" spans="1:11">
      <c r="A10" s="507"/>
      <c r="B10" s="508"/>
      <c r="C10" s="509"/>
      <c r="D10" s="232" t="s">
        <v>70</v>
      </c>
      <c r="E10" s="233">
        <f>'Planilha Orçamentaria '!H13</f>
        <v>3398.8999999999996</v>
      </c>
      <c r="F10" s="233">
        <f>F9*$E$10</f>
        <v>3398.8999999999996</v>
      </c>
      <c r="G10" s="233">
        <f>G9*$E$10</f>
        <v>0</v>
      </c>
      <c r="H10" s="233">
        <f>H9*$E$10</f>
        <v>0</v>
      </c>
      <c r="I10" s="233"/>
      <c r="J10" s="233"/>
      <c r="K10" s="236"/>
    </row>
    <row r="11" spans="1:11">
      <c r="A11" s="507">
        <v>2</v>
      </c>
      <c r="B11" s="508" t="s">
        <v>29</v>
      </c>
      <c r="C11" s="509" t="s">
        <v>30</v>
      </c>
      <c r="D11" s="232" t="s">
        <v>69</v>
      </c>
      <c r="E11" s="228">
        <f>E12/$E$26</f>
        <v>0.77126120253227903</v>
      </c>
      <c r="F11" s="228">
        <v>0.3</v>
      </c>
      <c r="G11" s="228">
        <v>0.5</v>
      </c>
      <c r="H11" s="228">
        <v>0.2</v>
      </c>
      <c r="I11" s="234"/>
      <c r="J11" s="228"/>
      <c r="K11" s="235"/>
    </row>
    <row r="12" spans="1:11">
      <c r="A12" s="507"/>
      <c r="B12" s="508"/>
      <c r="C12" s="509"/>
      <c r="D12" s="232" t="s">
        <v>70</v>
      </c>
      <c r="E12" s="233">
        <f>'Planilha Orçamentaria '!H17</f>
        <v>94779.139999999985</v>
      </c>
      <c r="F12" s="233">
        <f>F11*$E$12</f>
        <v>28433.741999999995</v>
      </c>
      <c r="G12" s="233">
        <f>G11*$E$12</f>
        <v>47389.569999999992</v>
      </c>
      <c r="H12" s="233">
        <f>H11*$E$12</f>
        <v>18955.827999999998</v>
      </c>
      <c r="I12" s="233"/>
      <c r="J12" s="233"/>
      <c r="K12" s="236"/>
    </row>
    <row r="13" spans="1:11">
      <c r="A13" s="507">
        <v>3</v>
      </c>
      <c r="B13" s="508" t="s">
        <v>52</v>
      </c>
      <c r="C13" s="509" t="s">
        <v>53</v>
      </c>
      <c r="D13" s="232" t="s">
        <v>69</v>
      </c>
      <c r="E13" s="228">
        <f>E14/$E$26</f>
        <v>0.20108039392779686</v>
      </c>
      <c r="F13" s="228"/>
      <c r="G13" s="228">
        <v>0.2</v>
      </c>
      <c r="H13" s="228">
        <v>0.8</v>
      </c>
      <c r="I13" s="234"/>
      <c r="J13" s="228"/>
      <c r="K13" s="235"/>
    </row>
    <row r="14" spans="1:11">
      <c r="A14" s="507"/>
      <c r="B14" s="508"/>
      <c r="C14" s="509"/>
      <c r="D14" s="232" t="s">
        <v>70</v>
      </c>
      <c r="E14" s="233">
        <f>'Planilha Orçamentaria '!H28</f>
        <v>24710.47</v>
      </c>
      <c r="F14" s="233">
        <f>F13*$E$14</f>
        <v>0</v>
      </c>
      <c r="G14" s="233">
        <f>G13*$E$14</f>
        <v>4942.094000000001</v>
      </c>
      <c r="H14" s="233">
        <f>(H13)*$E$14</f>
        <v>19768.376000000004</v>
      </c>
      <c r="I14" s="233"/>
      <c r="J14" s="233"/>
      <c r="K14" s="236"/>
    </row>
    <row r="15" spans="1:11">
      <c r="A15" s="495"/>
      <c r="B15" s="496"/>
      <c r="C15" s="512"/>
      <c r="D15" s="232" t="s">
        <v>69</v>
      </c>
      <c r="E15" s="229"/>
      <c r="F15" s="229"/>
      <c r="G15" s="229"/>
      <c r="H15" s="229"/>
      <c r="I15" s="230"/>
      <c r="J15" s="229"/>
      <c r="K15" s="231"/>
    </row>
    <row r="16" spans="1:11">
      <c r="A16" s="495"/>
      <c r="B16" s="496"/>
      <c r="C16" s="512"/>
      <c r="D16" s="232" t="s">
        <v>70</v>
      </c>
      <c r="E16" s="233"/>
      <c r="F16" s="233"/>
      <c r="G16" s="233"/>
      <c r="H16" s="233"/>
      <c r="I16" s="233"/>
      <c r="J16" s="233"/>
      <c r="K16" s="236"/>
    </row>
    <row r="17" spans="1:13">
      <c r="A17" s="495"/>
      <c r="B17" s="496"/>
      <c r="C17" s="512"/>
      <c r="D17" s="232" t="s">
        <v>69</v>
      </c>
      <c r="E17" s="229"/>
      <c r="F17" s="229"/>
      <c r="G17" s="229"/>
      <c r="H17" s="229"/>
      <c r="I17" s="230"/>
      <c r="J17" s="229"/>
      <c r="K17" s="231"/>
    </row>
    <row r="18" spans="1:13">
      <c r="A18" s="495"/>
      <c r="B18" s="496"/>
      <c r="C18" s="512"/>
      <c r="D18" s="232" t="s">
        <v>70</v>
      </c>
      <c r="E18" s="233"/>
      <c r="F18" s="233"/>
      <c r="G18" s="233"/>
      <c r="H18" s="233"/>
      <c r="I18" s="233"/>
      <c r="J18" s="233"/>
      <c r="K18" s="236"/>
    </row>
    <row r="19" spans="1:13">
      <c r="A19" s="495"/>
      <c r="B19" s="496"/>
      <c r="C19" s="496"/>
      <c r="D19" s="232" t="s">
        <v>69</v>
      </c>
      <c r="E19" s="229"/>
      <c r="F19" s="229"/>
      <c r="G19" s="229"/>
      <c r="H19" s="229"/>
      <c r="I19" s="230"/>
      <c r="J19" s="229"/>
      <c r="K19" s="231"/>
    </row>
    <row r="20" spans="1:13">
      <c r="A20" s="495"/>
      <c r="B20" s="496"/>
      <c r="C20" s="496"/>
      <c r="D20" s="232" t="s">
        <v>70</v>
      </c>
      <c r="E20" s="233"/>
      <c r="F20" s="233"/>
      <c r="G20" s="233"/>
      <c r="H20" s="233"/>
      <c r="I20" s="233"/>
      <c r="J20" s="233"/>
      <c r="K20" s="236"/>
    </row>
    <row r="21" spans="1:13">
      <c r="A21" s="497"/>
      <c r="B21" s="498"/>
      <c r="C21" s="498"/>
      <c r="D21" s="232" t="s">
        <v>69</v>
      </c>
      <c r="E21" s="229"/>
      <c r="F21" s="229"/>
      <c r="G21" s="229"/>
      <c r="H21" s="229"/>
      <c r="I21" s="230"/>
      <c r="J21" s="229"/>
      <c r="K21" s="231"/>
    </row>
    <row r="22" spans="1:13">
      <c r="A22" s="497"/>
      <c r="B22" s="498"/>
      <c r="C22" s="498"/>
      <c r="D22" s="232" t="s">
        <v>70</v>
      </c>
      <c r="E22" s="233"/>
      <c r="F22" s="233"/>
      <c r="G22" s="233"/>
      <c r="H22" s="233"/>
      <c r="I22" s="233"/>
      <c r="J22" s="233"/>
      <c r="K22" s="236"/>
    </row>
    <row r="23" spans="1:13">
      <c r="A23" s="495"/>
      <c r="B23" s="496"/>
      <c r="C23" s="496"/>
      <c r="D23" s="232" t="s">
        <v>69</v>
      </c>
      <c r="E23" s="229"/>
      <c r="F23" s="229"/>
      <c r="G23" s="229"/>
      <c r="H23" s="229"/>
      <c r="I23" s="230"/>
      <c r="J23" s="229"/>
      <c r="K23" s="231"/>
    </row>
    <row r="24" spans="1:13">
      <c r="A24" s="499"/>
      <c r="B24" s="500"/>
      <c r="C24" s="500"/>
      <c r="D24" s="237" t="s">
        <v>70</v>
      </c>
      <c r="E24" s="233"/>
      <c r="F24" s="233"/>
      <c r="G24" s="233"/>
      <c r="H24" s="233"/>
      <c r="I24" s="233"/>
      <c r="J24" s="233"/>
      <c r="K24" s="236"/>
    </row>
    <row r="25" spans="1:13">
      <c r="A25" s="501" t="s">
        <v>71</v>
      </c>
      <c r="B25" s="502"/>
      <c r="C25" s="503"/>
      <c r="D25" s="238" t="s">
        <v>69</v>
      </c>
      <c r="E25" s="239">
        <f>E9+E11+E13+E17+E19+E21+E23</f>
        <v>1</v>
      </c>
      <c r="F25" s="239">
        <f t="shared" ref="F25:K25" si="0">F26/$E$26</f>
        <v>0.25903676429960781</v>
      </c>
      <c r="G25" s="239">
        <f t="shared" si="0"/>
        <v>0.4258466800516989</v>
      </c>
      <c r="H25" s="239">
        <f t="shared" si="0"/>
        <v>0.26106435825448615</v>
      </c>
      <c r="I25" s="239">
        <f t="shared" si="0"/>
        <v>0</v>
      </c>
      <c r="J25" s="239">
        <f t="shared" si="0"/>
        <v>0</v>
      </c>
      <c r="K25" s="348">
        <f t="shared" si="0"/>
        <v>0</v>
      </c>
    </row>
    <row r="26" spans="1:13" ht="13.5" thickBot="1">
      <c r="A26" s="504"/>
      <c r="B26" s="505"/>
      <c r="C26" s="506"/>
      <c r="D26" s="240" t="s">
        <v>70</v>
      </c>
      <c r="E26" s="241">
        <f>E10+E12+E14+E18+E20+E22+E24</f>
        <v>122888.50999999998</v>
      </c>
      <c r="F26" s="241">
        <f t="shared" ref="F26:K26" si="1">F10+F12+F14+F18+F20+F22+F24</f>
        <v>31832.641999999993</v>
      </c>
      <c r="G26" s="241">
        <f t="shared" si="1"/>
        <v>52331.66399999999</v>
      </c>
      <c r="H26" s="241">
        <v>32081.81</v>
      </c>
      <c r="I26" s="241">
        <f t="shared" si="1"/>
        <v>0</v>
      </c>
      <c r="J26" s="241">
        <f t="shared" si="1"/>
        <v>0</v>
      </c>
      <c r="K26" s="349">
        <f t="shared" si="1"/>
        <v>0</v>
      </c>
    </row>
    <row r="27" spans="1:13" ht="13.5" thickBot="1">
      <c r="A27" s="350"/>
      <c r="B27" s="66"/>
      <c r="C27" s="66"/>
      <c r="D27" s="67"/>
      <c r="E27" s="67"/>
      <c r="F27" s="66"/>
      <c r="G27" s="66"/>
      <c r="H27" s="66"/>
      <c r="I27" s="66"/>
      <c r="J27" s="66"/>
      <c r="K27" s="351"/>
      <c r="M27" s="352">
        <f>27973.6+44944.65+32081.81</f>
        <v>105000.06</v>
      </c>
    </row>
    <row r="28" spans="1:13">
      <c r="A28" s="68"/>
      <c r="B28" s="69"/>
      <c r="C28" s="69"/>
      <c r="D28" s="69"/>
      <c r="E28" s="69"/>
      <c r="F28" s="69"/>
      <c r="G28" s="69"/>
      <c r="H28" s="72"/>
      <c r="I28" s="70"/>
      <c r="J28" s="71"/>
      <c r="K28" s="72"/>
    </row>
    <row r="29" spans="1:13" ht="24" customHeight="1">
      <c r="A29" s="73"/>
      <c r="B29" s="75"/>
      <c r="C29" s="75"/>
      <c r="D29" s="75"/>
      <c r="E29" s="75"/>
      <c r="F29" s="75"/>
      <c r="G29" s="75"/>
      <c r="H29" s="79"/>
      <c r="I29" s="76" t="s">
        <v>72</v>
      </c>
      <c r="J29" s="59"/>
      <c r="K29" s="79"/>
    </row>
    <row r="30" spans="1:13">
      <c r="A30" s="73"/>
      <c r="B30" s="75"/>
      <c r="C30" s="75"/>
      <c r="D30" s="75"/>
      <c r="E30" s="75"/>
      <c r="F30" s="75"/>
      <c r="G30" s="75"/>
      <c r="H30" s="79"/>
      <c r="I30" s="78"/>
      <c r="J30" s="59"/>
      <c r="K30" s="79"/>
    </row>
    <row r="31" spans="1:13">
      <c r="A31" s="73"/>
      <c r="B31" s="74"/>
      <c r="C31" s="74"/>
      <c r="D31" s="75"/>
      <c r="E31" s="220" t="s">
        <v>148</v>
      </c>
      <c r="F31" s="74"/>
      <c r="G31" s="1"/>
      <c r="H31" s="77"/>
      <c r="I31" s="321"/>
      <c r="J31" s="321"/>
      <c r="K31" s="77"/>
    </row>
    <row r="32" spans="1:13">
      <c r="A32" s="510" t="s">
        <v>73</v>
      </c>
      <c r="B32" s="355"/>
      <c r="C32" s="355"/>
      <c r="D32" s="355"/>
      <c r="E32" s="355" t="s">
        <v>156</v>
      </c>
      <c r="F32" s="355"/>
      <c r="G32" s="2"/>
      <c r="H32" s="79"/>
      <c r="I32" s="59"/>
      <c r="J32" s="59"/>
      <c r="K32" s="79"/>
    </row>
    <row r="33" spans="1:11">
      <c r="A33" s="80"/>
      <c r="B33" s="81"/>
      <c r="C33" s="81"/>
      <c r="D33" s="58"/>
      <c r="E33" s="58"/>
      <c r="F33" s="59"/>
      <c r="G33" s="59"/>
      <c r="H33" s="79"/>
      <c r="I33" s="78"/>
      <c r="J33" s="59"/>
      <c r="K33" s="79"/>
    </row>
    <row r="34" spans="1:11">
      <c r="A34" s="82"/>
      <c r="B34" s="356"/>
      <c r="C34" s="356"/>
      <c r="D34" s="83"/>
      <c r="E34" s="83"/>
      <c r="F34" s="84"/>
      <c r="G34" s="59"/>
      <c r="H34" s="79"/>
      <c r="I34" s="78"/>
      <c r="J34" s="59"/>
      <c r="K34" s="79"/>
    </row>
    <row r="35" spans="1:11">
      <c r="A35" s="82"/>
      <c r="B35" s="511" t="s">
        <v>17</v>
      </c>
      <c r="C35" s="511"/>
      <c r="D35" s="83"/>
      <c r="E35" s="83"/>
      <c r="F35" s="84"/>
      <c r="G35" s="59"/>
      <c r="H35" s="79"/>
      <c r="I35" s="78"/>
      <c r="J35" s="59"/>
      <c r="K35" s="79"/>
    </row>
    <row r="36" spans="1:11" ht="58.5" customHeight="1" thickBot="1">
      <c r="A36" s="85"/>
      <c r="B36" s="223"/>
      <c r="C36" s="223"/>
      <c r="D36" s="86"/>
      <c r="E36" s="86"/>
      <c r="F36" s="87"/>
      <c r="G36" s="87"/>
      <c r="H36" s="89"/>
      <c r="I36" s="88"/>
      <c r="J36" s="87"/>
      <c r="K36" s="89"/>
    </row>
    <row r="37" spans="1:11">
      <c r="A37" s="221"/>
      <c r="B37" s="5"/>
      <c r="C37" s="5"/>
      <c r="D37" s="222"/>
      <c r="E37" s="222"/>
      <c r="F37" s="59"/>
      <c r="G37" s="59"/>
      <c r="H37" s="59"/>
      <c r="I37" s="59"/>
      <c r="J37" s="59"/>
      <c r="K37" s="59"/>
    </row>
  </sheetData>
  <mergeCells count="38">
    <mergeCell ref="A3:K3"/>
    <mergeCell ref="A5:K5"/>
    <mergeCell ref="A6:C6"/>
    <mergeCell ref="D6:E6"/>
    <mergeCell ref="F6:G6"/>
    <mergeCell ref="I6:K6"/>
    <mergeCell ref="A7:C7"/>
    <mergeCell ref="D7:H7"/>
    <mergeCell ref="I7:K7"/>
    <mergeCell ref="A9:A10"/>
    <mergeCell ref="B9:B10"/>
    <mergeCell ref="C9:C10"/>
    <mergeCell ref="A11:A12"/>
    <mergeCell ref="B11:B12"/>
    <mergeCell ref="C11:C12"/>
    <mergeCell ref="A32:D32"/>
    <mergeCell ref="B35:C35"/>
    <mergeCell ref="A13:A14"/>
    <mergeCell ref="B13:B14"/>
    <mergeCell ref="C13:C14"/>
    <mergeCell ref="A15:A16"/>
    <mergeCell ref="B15:B16"/>
    <mergeCell ref="C15:C16"/>
    <mergeCell ref="A17:A18"/>
    <mergeCell ref="B17:B18"/>
    <mergeCell ref="C17:C18"/>
    <mergeCell ref="B34:C34"/>
    <mergeCell ref="E32:F32"/>
    <mergeCell ref="A19:A20"/>
    <mergeCell ref="B19:B20"/>
    <mergeCell ref="C19:C20"/>
    <mergeCell ref="A21:A22"/>
    <mergeCell ref="B21:B22"/>
    <mergeCell ref="C21:C22"/>
    <mergeCell ref="A23:A24"/>
    <mergeCell ref="B23:B24"/>
    <mergeCell ref="C23:C24"/>
    <mergeCell ref="A25:C26"/>
  </mergeCells>
  <pageMargins left="0.511811024" right="0.511811024" top="0.78740157499999996" bottom="0.78740157499999996" header="0.31496062000000002" footer="0.31496062000000002"/>
  <pageSetup paperSize="9" scale="80" orientation="landscape" r:id="rId1"/>
  <colBreaks count="1" manualBreakCount="1">
    <brk id="11" max="1048575" man="1"/>
  </colBreaks>
  <drawing r:id="rId2"/>
  <legacyDrawing r:id="rId3"/>
  <oleObjects>
    <oleObject shapeId="6180" r:id="rId4"/>
  </oleObjects>
</worksheet>
</file>

<file path=xl/worksheets/sheet8.xml><?xml version="1.0" encoding="utf-8"?>
<worksheet xmlns="http://schemas.openxmlformats.org/spreadsheetml/2006/main" xmlns:r="http://schemas.openxmlformats.org/officeDocument/2006/relationships">
  <dimension ref="A2:L24"/>
  <sheetViews>
    <sheetView topLeftCell="A4" workbookViewId="0">
      <selection activeCell="L9" sqref="L9"/>
    </sheetView>
  </sheetViews>
  <sheetFormatPr defaultRowHeight="12.75"/>
  <cols>
    <col min="1" max="1" width="13.140625" customWidth="1"/>
    <col min="2" max="2" width="11.7109375" customWidth="1"/>
    <col min="3" max="3" width="18.28515625" customWidth="1"/>
    <col min="5" max="5" width="12.5703125" customWidth="1"/>
    <col min="7" max="7" width="11.85546875" customWidth="1"/>
    <col min="8" max="8" width="14.42578125" customWidth="1"/>
    <col min="9" max="9" width="14" customWidth="1"/>
    <col min="12" max="12" width="9.85546875" bestFit="1" customWidth="1"/>
  </cols>
  <sheetData>
    <row r="2" spans="1:12" ht="48" customHeight="1"/>
    <row r="3" spans="1:12">
      <c r="A3" s="535" t="s">
        <v>164</v>
      </c>
      <c r="B3" s="535"/>
      <c r="C3" s="535"/>
      <c r="D3" s="535"/>
      <c r="E3" s="535"/>
      <c r="F3" s="535"/>
      <c r="G3" s="535"/>
      <c r="H3" s="535"/>
      <c r="I3" s="535"/>
    </row>
    <row r="4" spans="1:12">
      <c r="A4" s="535"/>
      <c r="B4" s="535"/>
      <c r="C4" s="535"/>
      <c r="D4" s="535"/>
      <c r="E4" s="535"/>
      <c r="F4" s="535"/>
      <c r="G4" s="535"/>
      <c r="H4" s="535"/>
      <c r="I4" s="535"/>
    </row>
    <row r="5" spans="1:12" ht="19.5" customHeight="1" thickBot="1">
      <c r="A5" s="536"/>
      <c r="B5" s="536"/>
      <c r="C5" s="536"/>
      <c r="D5" s="536"/>
      <c r="E5" s="536"/>
      <c r="F5" s="536"/>
      <c r="G5" s="536"/>
      <c r="H5" s="536"/>
      <c r="I5" s="536"/>
    </row>
    <row r="6" spans="1:12">
      <c r="A6" s="537" t="s">
        <v>165</v>
      </c>
      <c r="B6" s="538"/>
      <c r="C6" s="538"/>
      <c r="D6" s="541" t="s">
        <v>166</v>
      </c>
      <c r="E6" s="542"/>
      <c r="F6" s="543"/>
      <c r="G6" s="544"/>
      <c r="H6" s="270" t="s">
        <v>167</v>
      </c>
      <c r="I6" s="271">
        <f>IF(H6="s",((1+D11+D8+D9)*(1+D10)*((1+D12)/(1-D14)))-1,0)</f>
        <v>0</v>
      </c>
    </row>
    <row r="7" spans="1:12" ht="13.5" thickBot="1">
      <c r="A7" s="539"/>
      <c r="B7" s="540"/>
      <c r="C7" s="540"/>
      <c r="D7" s="545" t="s">
        <v>168</v>
      </c>
      <c r="E7" s="546"/>
      <c r="F7" s="547"/>
      <c r="G7" s="548"/>
      <c r="H7" s="272" t="s">
        <v>169</v>
      </c>
      <c r="I7" s="273">
        <f>ROUND((IF(H7="s",((1+D11+D8+D9)*(1+D10)*((1+D12)/(1-D14-D13)))-1,0)),4)</f>
        <v>0.26850000000000002</v>
      </c>
      <c r="K7" s="287"/>
      <c r="L7" s="286"/>
    </row>
    <row r="8" spans="1:12">
      <c r="A8" s="274" t="s">
        <v>170</v>
      </c>
      <c r="B8" s="275"/>
      <c r="C8" s="276" t="s">
        <v>171</v>
      </c>
      <c r="D8" s="549">
        <v>3.2000000000000002E-3</v>
      </c>
      <c r="E8" s="550"/>
      <c r="F8" s="551" t="s">
        <v>172</v>
      </c>
      <c r="G8" s="552"/>
      <c r="H8" s="552"/>
      <c r="I8" s="553"/>
    </row>
    <row r="9" spans="1:12">
      <c r="A9" s="277" t="s">
        <v>173</v>
      </c>
      <c r="B9" s="278"/>
      <c r="C9" s="279" t="s">
        <v>174</v>
      </c>
      <c r="D9" s="560">
        <v>5.0000000000000001E-3</v>
      </c>
      <c r="E9" s="561"/>
      <c r="F9" s="554"/>
      <c r="G9" s="555"/>
      <c r="H9" s="555"/>
      <c r="I9" s="556"/>
    </row>
    <row r="10" spans="1:12">
      <c r="A10" s="280" t="s">
        <v>175</v>
      </c>
      <c r="B10" s="278"/>
      <c r="C10" s="279" t="s">
        <v>176</v>
      </c>
      <c r="D10" s="560">
        <v>1.0200000000000001E-2</v>
      </c>
      <c r="E10" s="561"/>
      <c r="F10" s="554"/>
      <c r="G10" s="555"/>
      <c r="H10" s="555"/>
      <c r="I10" s="556"/>
    </row>
    <row r="11" spans="1:12">
      <c r="A11" s="277" t="s">
        <v>177</v>
      </c>
      <c r="B11" s="278"/>
      <c r="C11" s="279" t="s">
        <v>178</v>
      </c>
      <c r="D11" s="560">
        <v>3.7999999999999999E-2</v>
      </c>
      <c r="E11" s="561"/>
      <c r="F11" s="554"/>
      <c r="G11" s="555"/>
      <c r="H11" s="555"/>
      <c r="I11" s="556"/>
    </row>
    <row r="12" spans="1:12">
      <c r="A12" s="277" t="s">
        <v>179</v>
      </c>
      <c r="B12" s="278"/>
      <c r="C12" s="279" t="s">
        <v>180</v>
      </c>
      <c r="D12" s="560">
        <v>6.6400000000000001E-2</v>
      </c>
      <c r="E12" s="561"/>
      <c r="F12" s="554"/>
      <c r="G12" s="555"/>
      <c r="H12" s="555"/>
      <c r="I12" s="556"/>
    </row>
    <row r="13" spans="1:12">
      <c r="A13" s="277" t="s">
        <v>181</v>
      </c>
      <c r="B13" s="278"/>
      <c r="C13" s="279">
        <v>4.4999999999999998E-2</v>
      </c>
      <c r="D13" s="560">
        <v>4.4999999999999998E-2</v>
      </c>
      <c r="E13" s="561"/>
      <c r="F13" s="554"/>
      <c r="G13" s="555"/>
      <c r="H13" s="555"/>
      <c r="I13" s="556"/>
    </row>
    <row r="14" spans="1:12" ht="13.5" thickBot="1">
      <c r="A14" s="281" t="s">
        <v>182</v>
      </c>
      <c r="B14" s="282"/>
      <c r="C14" s="283">
        <f>(3+0.65+2)/100</f>
        <v>5.6500000000000002E-2</v>
      </c>
      <c r="D14" s="562">
        <v>6.6500000000000004E-2</v>
      </c>
      <c r="E14" s="563"/>
      <c r="F14" s="557"/>
      <c r="G14" s="558"/>
      <c r="H14" s="558"/>
      <c r="I14" s="559"/>
    </row>
    <row r="18" spans="1:9">
      <c r="A18" s="284" t="s">
        <v>183</v>
      </c>
    </row>
    <row r="19" spans="1:9">
      <c r="A19" s="284"/>
    </row>
    <row r="20" spans="1:9">
      <c r="A20" s="285"/>
    </row>
    <row r="21" spans="1:9">
      <c r="A21" s="284" t="s">
        <v>276</v>
      </c>
    </row>
    <row r="22" spans="1:9">
      <c r="I22" t="s">
        <v>184</v>
      </c>
    </row>
    <row r="24" spans="1:9">
      <c r="C24" s="358" t="s">
        <v>17</v>
      </c>
      <c r="D24" s="358"/>
      <c r="E24" s="358"/>
      <c r="F24" s="358"/>
    </row>
  </sheetData>
  <mergeCells count="13">
    <mergeCell ref="C24:F24"/>
    <mergeCell ref="A3:I5"/>
    <mergeCell ref="A6:C7"/>
    <mergeCell ref="D6:G6"/>
    <mergeCell ref="D7:G7"/>
    <mergeCell ref="D8:E8"/>
    <mergeCell ref="F8:I14"/>
    <mergeCell ref="D9:E9"/>
    <mergeCell ref="D10:E10"/>
    <mergeCell ref="D11:E11"/>
    <mergeCell ref="D12:E12"/>
    <mergeCell ref="D13:E13"/>
    <mergeCell ref="D14:E14"/>
  </mergeCells>
  <conditionalFormatting sqref="H6:H7">
    <cfRule type="cellIs" dxfId="0" priority="1" stopIfTrue="1" operator="notEqual">
      <formula>IF(H7="x",0)</formula>
    </cfRule>
  </conditionalFormatting>
  <pageMargins left="0.51181102362204722" right="0.51181102362204722" top="0.78740157480314965" bottom="0.78740157480314965" header="0.31496062992125984" footer="0.31496062992125984"/>
  <pageSetup paperSize="9" orientation="landscape" r:id="rId1"/>
  <legacyDrawing r:id="rId2"/>
  <oleObjects>
    <oleObject shapeId="10241" r:id="rId3"/>
  </oleObjects>
</worksheet>
</file>

<file path=xl/worksheets/sheet9.xml><?xml version="1.0" encoding="utf-8"?>
<worksheet xmlns="http://schemas.openxmlformats.org/spreadsheetml/2006/main" xmlns:r="http://schemas.openxmlformats.org/officeDocument/2006/relationships">
  <dimension ref="A6:I24"/>
  <sheetViews>
    <sheetView topLeftCell="A4" workbookViewId="0">
      <selection activeCell="I23" sqref="I23"/>
    </sheetView>
  </sheetViews>
  <sheetFormatPr defaultRowHeight="12.75"/>
  <cols>
    <col min="1" max="1" width="30" customWidth="1"/>
    <col min="4" max="4" width="13.5703125" customWidth="1"/>
    <col min="5" max="5" width="22.7109375" customWidth="1"/>
  </cols>
  <sheetData>
    <row r="6" spans="1:6" ht="18.75">
      <c r="A6" s="564" t="s">
        <v>149</v>
      </c>
      <c r="B6" s="565"/>
      <c r="C6" s="565"/>
      <c r="D6" s="565"/>
      <c r="E6" s="565"/>
      <c r="F6" s="566"/>
    </row>
    <row r="7" spans="1:6">
      <c r="A7" s="289"/>
      <c r="B7" s="290" t="s">
        <v>185</v>
      </c>
      <c r="C7" s="290" t="s">
        <v>43</v>
      </c>
      <c r="D7" s="290" t="s">
        <v>186</v>
      </c>
      <c r="E7" s="290" t="s">
        <v>187</v>
      </c>
      <c r="F7" s="290"/>
    </row>
    <row r="8" spans="1:6" ht="15.75">
      <c r="A8" s="291" t="s">
        <v>234</v>
      </c>
      <c r="B8" s="292">
        <v>1</v>
      </c>
      <c r="C8" s="292">
        <v>1.42</v>
      </c>
      <c r="D8" s="293">
        <v>10</v>
      </c>
      <c r="E8" s="293">
        <f>C8*D8</f>
        <v>14.2</v>
      </c>
      <c r="F8" s="292"/>
    </row>
    <row r="9" spans="1:6" ht="15.75">
      <c r="A9" s="291" t="s">
        <v>188</v>
      </c>
      <c r="B9" s="292">
        <v>1</v>
      </c>
      <c r="C9" s="292">
        <v>1.42</v>
      </c>
      <c r="D9" s="293">
        <v>57</v>
      </c>
      <c r="E9" s="293">
        <f>C9*D9</f>
        <v>80.94</v>
      </c>
      <c r="F9" s="292"/>
    </row>
    <row r="10" spans="1:6" ht="16.5" thickBot="1">
      <c r="A10" s="294" t="s">
        <v>277</v>
      </c>
      <c r="B10" s="295">
        <v>1</v>
      </c>
      <c r="C10" s="295">
        <v>1.42</v>
      </c>
      <c r="D10" s="296">
        <v>18</v>
      </c>
      <c r="E10" s="293">
        <f>C10*D10</f>
        <v>25.56</v>
      </c>
      <c r="F10" s="295"/>
    </row>
    <row r="11" spans="1:6" ht="16.5" thickBot="1">
      <c r="A11" s="297" t="s">
        <v>189</v>
      </c>
      <c r="B11" s="298"/>
      <c r="C11" s="298"/>
      <c r="D11" s="299"/>
      <c r="E11" s="299">
        <f>ROUND(SUM(E8:E10)/3,2)</f>
        <v>40.229999999999997</v>
      </c>
      <c r="F11" s="300"/>
    </row>
    <row r="12" spans="1:6">
      <c r="D12" t="s">
        <v>191</v>
      </c>
    </row>
    <row r="13" spans="1:6">
      <c r="A13" s="328" t="s">
        <v>278</v>
      </c>
    </row>
    <row r="16" spans="1:6">
      <c r="A16" s="284" t="s">
        <v>183</v>
      </c>
    </row>
    <row r="17" spans="1:9">
      <c r="A17" s="284"/>
    </row>
    <row r="18" spans="1:9">
      <c r="A18" s="284"/>
    </row>
    <row r="19" spans="1:9">
      <c r="A19" s="284" t="s">
        <v>190</v>
      </c>
    </row>
    <row r="20" spans="1:9">
      <c r="A20" s="284"/>
    </row>
    <row r="21" spans="1:9">
      <c r="A21" s="284"/>
    </row>
    <row r="22" spans="1:9">
      <c r="I22" t="s">
        <v>184</v>
      </c>
    </row>
    <row r="24" spans="1:9">
      <c r="C24" s="358" t="s">
        <v>17</v>
      </c>
      <c r="D24" s="358"/>
      <c r="E24" s="358"/>
      <c r="F24" s="358"/>
    </row>
  </sheetData>
  <mergeCells count="2">
    <mergeCell ref="A6:F6"/>
    <mergeCell ref="C24:F24"/>
  </mergeCells>
  <pageMargins left="0.511811024" right="0.511811024" top="0.78740157499999996" bottom="0.78740157499999996" header="0.31496062000000002" footer="0.31496062000000002"/>
  <pageSetup paperSize="9" orientation="landscape" r:id="rId1"/>
  <legacyDrawing r:id="rId2"/>
  <oleObjects>
    <oleObject shapeId="11265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9</vt:i4>
      </vt:variant>
    </vt:vector>
  </HeadingPairs>
  <TitlesOfParts>
    <vt:vector size="18" baseType="lpstr">
      <vt:lpstr>Memoria de Calculo</vt:lpstr>
      <vt:lpstr>Memoria</vt:lpstr>
      <vt:lpstr>Relação de Ruas a Pavimentar</vt:lpstr>
      <vt:lpstr>Memoria  CBUQ</vt:lpstr>
      <vt:lpstr>Planilha Orcamentaria</vt:lpstr>
      <vt:lpstr>Planilha Orçamentaria </vt:lpstr>
      <vt:lpstr>Cronograma</vt:lpstr>
      <vt:lpstr>BDI</vt:lpstr>
      <vt:lpstr>Orçamento</vt:lpstr>
      <vt:lpstr>Cronograma!Area_de_impressao</vt:lpstr>
      <vt:lpstr>Memoria!Area_de_impressao</vt:lpstr>
      <vt:lpstr>'Memoria  CBUQ'!Area_de_impressao</vt:lpstr>
      <vt:lpstr>'Memoria de Calculo'!Area_de_impressao</vt:lpstr>
      <vt:lpstr>'Planilha Orcamentaria'!Area_de_impressao</vt:lpstr>
      <vt:lpstr>'Planilha Orçamentaria '!Area_de_impressao</vt:lpstr>
      <vt:lpstr>'Relação de Ruas a Pavimentar'!Area_de_impressao</vt:lpstr>
      <vt:lpstr>Memoria!Titulos_de_impressao</vt:lpstr>
      <vt:lpstr>'Memoria  CBUQ'!Titulos_de_impressao</vt:lpstr>
    </vt:vector>
  </TitlesOfParts>
  <Company>Setop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Setop</dc:creator>
  <cp:lastModifiedBy>Engenharia</cp:lastModifiedBy>
  <cp:lastPrinted>2021-09-02T17:03:54Z</cp:lastPrinted>
  <dcterms:created xsi:type="dcterms:W3CDTF">2006-09-22T13:55:22Z</dcterms:created>
  <dcterms:modified xsi:type="dcterms:W3CDTF">2021-09-02T17:07:42Z</dcterms:modified>
</cp:coreProperties>
</file>