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2"/>
  </bookViews>
  <sheets>
    <sheet name="Memoria " sheetId="1" r:id="rId1"/>
    <sheet name="Relação de Ruas" sheetId="2" state="hidden" r:id="rId2"/>
    <sheet name="Planilha Orçamentaria" sheetId="3" r:id="rId3"/>
    <sheet name="Memoria" sheetId="4" r:id="rId4"/>
    <sheet name="Cronograma" sheetId="5" r:id="rId5"/>
    <sheet name="BDI" sheetId="6" r:id="rId6"/>
  </sheets>
  <externalReferences>
    <externalReference r:id="rId9"/>
  </externalReferences>
  <definedNames>
    <definedName name="_xlnm.Print_Area" localSheetId="5">'BDI'!$A$1:$J$21</definedName>
    <definedName name="_xlnm.Print_Area" localSheetId="4">'Cronograma'!$A$1:$H$30</definedName>
    <definedName name="_xlnm.Print_Area" localSheetId="3">'Memoria'!$A$1:$O$37</definedName>
    <definedName name="_xlnm.Print_Area" localSheetId="0">'Memoria '!$A$1:$G$37</definedName>
    <definedName name="_xlnm.Print_Area" localSheetId="2">'Planilha Orçamentaria'!$B$1:$J$36</definedName>
    <definedName name="_xlnm.Print_Area" localSheetId="1">'Relação de Ruas'!$A$1:$K$36</definedName>
    <definedName name="_xlnm.Print_Titles" localSheetId="3">'Memoria'!$1:$13</definedName>
    <definedName name="_xlnm.Print_Titles" localSheetId="0">'Memoria '!$1:$11</definedName>
    <definedName name="_xlnm.Print_Titles" localSheetId="2">'Planilha Orçamentaria'!$1:$10</definedName>
  </definedNames>
  <calcPr fullCalcOnLoad="1"/>
</workbook>
</file>

<file path=xl/sharedStrings.xml><?xml version="1.0" encoding="utf-8"?>
<sst xmlns="http://schemas.openxmlformats.org/spreadsheetml/2006/main" count="212" uniqueCount="171">
  <si>
    <t>FOLHA Nº:</t>
  </si>
  <si>
    <t>OBRA:</t>
  </si>
  <si>
    <t>ITEM</t>
  </si>
  <si>
    <t>DESCRIÇÃO</t>
  </si>
  <si>
    <t>QUANT.</t>
  </si>
  <si>
    <t>UNIDADE</t>
  </si>
  <si>
    <t>(UN, PÇ, M²)</t>
  </si>
  <si>
    <t>PREÇO UNIT.</t>
  </si>
  <si>
    <t>TOTAL</t>
  </si>
  <si>
    <t xml:space="preserve">Observação : Caso a contrapartida for comprovada mediante serviços de mão de obra, fazer constar os valores na planilha supra, </t>
  </si>
  <si>
    <t>de modo a especificar a execução direta da obra.</t>
  </si>
  <si>
    <t>PLANILHA ORÇAMENTÁRIA DE CUSTOS</t>
  </si>
  <si>
    <t xml:space="preserve">PROPONENTE:     </t>
  </si>
  <si>
    <t>CODIGO</t>
  </si>
  <si>
    <t>IIO-PLA-005</t>
  </si>
  <si>
    <t xml:space="preserve"> IIO-001</t>
  </si>
  <si>
    <t xml:space="preserve">INSTALAÇÕES INICIAIS DA OBRA
</t>
  </si>
  <si>
    <t>FORNECIMENTO E COLOCAÇÃO DE PLACA DE OBRA EM CHAPA 
GALVANIZADA (3,00 X 1,50 M) - EM CHAPA GALVANIZADA 0,26 AFIXADAS COM REBITES 540 E PARAFUSOS 3/8, EM ESTRUTURA METÁLICA VIGA U 2" ENRIJECIDA COM METALON 20 X 20, SUPORTE EM EUCALIPTO AUTOCLAVADO PINTADAS NE FRENTE E NO VERSO COM FUNDO NTICORROSIVO E TINTA AUTOMOTIVA. (FRENTE: PINTURA AUTOMOTIVA FUNDO AZUL, TEXTO: PLOTTER DE RECORTE PELÍCULA BRANCA E PARTE INFERIOR: APLICAÇÃO DAS MARCAS EM COR CONFORME MANUAL DE IDENTIDADE VISUAL DO GOVERNO DE MINAS</t>
  </si>
  <si>
    <t xml:space="preserve"> PRE-001 </t>
  </si>
  <si>
    <t>PREPARO DO TERRENO</t>
  </si>
  <si>
    <t>PT</t>
  </si>
  <si>
    <t>M2</t>
  </si>
  <si>
    <t>1.1</t>
  </si>
  <si>
    <t>2.1</t>
  </si>
  <si>
    <t>CRONOGRAMA FÍSICO-FINANCEIRO</t>
  </si>
  <si>
    <t>ETAPAS</t>
  </si>
  <si>
    <t>Físico / Financeiro</t>
  </si>
  <si>
    <t>Mês 1</t>
  </si>
  <si>
    <t>Mês 2</t>
  </si>
  <si>
    <t>Total</t>
  </si>
  <si>
    <t>Físico %</t>
  </si>
  <si>
    <t>Financeiro</t>
  </si>
  <si>
    <t>m3xkm</t>
  </si>
  <si>
    <t>M3</t>
  </si>
  <si>
    <t xml:space="preserve"> OBR-VIA-160</t>
  </si>
  <si>
    <t>OBR-VIA-165</t>
  </si>
  <si>
    <t>OBR-VIA-180</t>
  </si>
  <si>
    <t xml:space="preserve">PREFEITURA MUNICIPAL DE PAINS </t>
  </si>
  <si>
    <t>LIMPEZA GERAL</t>
  </si>
  <si>
    <t>LIMPEZA GERAL DE OBRA</t>
  </si>
  <si>
    <t>SINALIZAÇÃO HORIZONTAL COM TINTA RETRORREFLETIVA A BASE DE RESINA ACRÍLICA COM MICROESFERAS DE VIDRO</t>
  </si>
  <si>
    <t>PLACA DE SINALIZAÇÃO VERTICAL, EM CHAPA DE AÇO, COM PINTURA REFLETIVA - FORNECIMENTO E COLOCAÇÃO</t>
  </si>
  <si>
    <t>FORNECIMENO CONJ. POSTE DE FIXACAO Ø 2" 1/2, ESPESSURA  2,25 mm ,3,00 metros - AÇO MSG16 COM SISTEMA ANTI-GIRO- TAMPAO, FOSFATIZAÇÃO, PINTURA PRETO FOSCO C/ 02 PLACAS IDENT. RUAS MSG 16 PINTURA  ELETROSTATICA  ,  ADESIVO 02 LADOS. SUPORTE FIXAÇÃO , KIT INSTALAÇÃO</t>
  </si>
  <si>
    <t>SINALIZAÇÃO</t>
  </si>
  <si>
    <t>UN</t>
  </si>
  <si>
    <t>6.1</t>
  </si>
  <si>
    <t>Municipio: Pains</t>
  </si>
  <si>
    <t>RELAÇÃO DE RUAS</t>
  </si>
  <si>
    <t>NOME DAS RUAS</t>
  </si>
  <si>
    <t>COMPRIMENTO (m)</t>
  </si>
  <si>
    <t>LARGURA SUB-LEITO/ SUB-BASE / BASE / IMPRIMAÇÃO             (m)</t>
  </si>
  <si>
    <t>LARGURA PINTURA DE LIGAÇÃO / CAPA ASFÁLTICA                  (m)</t>
  </si>
  <si>
    <t>ÁREA SUB-LEITO / SUB-BASE / BASE / IMPRIMAÇÃO (m²)</t>
  </si>
  <si>
    <t>ÁREA DE PINTURA DE LIGAÇÃO / CAPA ASFÁLTICA (m²)</t>
  </si>
  <si>
    <t>TOTAIS GERAIS</t>
  </si>
  <si>
    <t>MEMÓRIA DE CÁLCULO DOS QUANTITATIVOS</t>
  </si>
  <si>
    <t>DISCRIMINAÇÃO DOS SERVIÇOS</t>
  </si>
  <si>
    <t>COMPR. (m)</t>
  </si>
  <si>
    <t>LARG. (m)</t>
  </si>
  <si>
    <t>ÁREA (m²)</t>
  </si>
  <si>
    <t>ESP. (m)</t>
  </si>
  <si>
    <t>EMPOLAMENTO</t>
  </si>
  <si>
    <t>VOLUME (m³)</t>
  </si>
  <si>
    <t xml:space="preserve">PESO ESPCIF. </t>
  </si>
  <si>
    <t>PESO (ton)</t>
  </si>
  <si>
    <t>DMT (km)</t>
  </si>
  <si>
    <t>MOM. TRANSP.</t>
  </si>
  <si>
    <t>BDI</t>
  </si>
  <si>
    <t xml:space="preserve">  </t>
  </si>
  <si>
    <t>SEM Desoneração: Digite S(sim) ou N(não)</t>
  </si>
  <si>
    <t>N</t>
  </si>
  <si>
    <t>COM Desoneração: Digite S(sim) ou N(não)</t>
  </si>
  <si>
    <t>S</t>
  </si>
  <si>
    <t>Garantia (G):</t>
  </si>
  <si>
    <t xml:space="preserve"> 0,32% a 0,74%</t>
  </si>
  <si>
    <t>Composição do BDI, intervalos admissíveis e Fórmula de cálculo nos termos do Acórdão 2622/2013 do TCU.</t>
  </si>
  <si>
    <t>Risco (R) :</t>
  </si>
  <si>
    <t>0,50% a 0,97%</t>
  </si>
  <si>
    <t>Desp. financeiras (DF):</t>
  </si>
  <si>
    <t>1,02% a 1,21%</t>
  </si>
  <si>
    <t>Adm. Central (AC):</t>
  </si>
  <si>
    <t>3,80% a 4,67%</t>
  </si>
  <si>
    <t>Lucro (L):</t>
  </si>
  <si>
    <t>6,64% a 8,69%</t>
  </si>
  <si>
    <t>CPRB:</t>
  </si>
  <si>
    <t>Tributos (T):</t>
  </si>
  <si>
    <t>Composição BDI</t>
  </si>
  <si>
    <t>PROPONENTE:  PREFEITURA MUNICIPAL DE PAINS</t>
  </si>
  <si>
    <t>FOLHA Nº  01</t>
  </si>
  <si>
    <t>BDI:</t>
  </si>
  <si>
    <t>TOTAL ETAPAS</t>
  </si>
  <si>
    <t>TOTAL GERAL</t>
  </si>
  <si>
    <t xml:space="preserve"> SARJETA  (30 E 50X05 cm)           (m)</t>
  </si>
  <si>
    <t>ÁREA DE PAVIMENTAÇÃO COM BLOQUETE DE ESPESSURA DE 8 CM (m²)</t>
  </si>
  <si>
    <t>RUA PEDRO CANDIDO RIBEIRO</t>
  </si>
  <si>
    <t>ÁREA A SER PAVIMENTADA</t>
  </si>
  <si>
    <t>Largura 1 (m)</t>
  </si>
  <si>
    <t>Largura 2 (m)</t>
  </si>
  <si>
    <t>Comprimento (m)</t>
  </si>
  <si>
    <t>Área (m²)</t>
  </si>
  <si>
    <t>TRECHO 1</t>
  </si>
  <si>
    <t>TRECHO 2</t>
  </si>
  <si>
    <t>TRECHO 3</t>
  </si>
  <si>
    <t>TRECHO 4</t>
  </si>
  <si>
    <t>TRECHO 5</t>
  </si>
  <si>
    <t>TRECHO 6</t>
  </si>
  <si>
    <t>TRECHO 7</t>
  </si>
  <si>
    <t>TRECHO 8</t>
  </si>
  <si>
    <t>6.4</t>
  </si>
  <si>
    <t>6.5</t>
  </si>
  <si>
    <t>6.6</t>
  </si>
  <si>
    <t>6.7</t>
  </si>
  <si>
    <t>OBRAS VIÁRIAS (PAVIMENTAÇÃO DE RUAS RECAPEAMENTO)</t>
  </si>
  <si>
    <t>VALOR UNIT. SETOP DEZ/2015</t>
  </si>
  <si>
    <t>ÁREA A SER REGULARIZADA PARA ASSENTAMENTO DE BLOQUETE (m²)</t>
  </si>
  <si>
    <t>3.1</t>
  </si>
  <si>
    <t>MEIO FIO (M)</t>
  </si>
  <si>
    <t>OBRAS VIÁRIAS (PAVIMENTAÇÃO DE RUAS RECAPEAMENTO</t>
  </si>
  <si>
    <t>6.0</t>
  </si>
  <si>
    <t>2.0</t>
  </si>
  <si>
    <t>1.0</t>
  </si>
  <si>
    <t>Nome legível do responsável técnico pela elaboração da planilha Állan Felipe da Silva Pereira  CREA - MG 201.236/D</t>
  </si>
  <si>
    <t>3.2</t>
  </si>
  <si>
    <t>3.3</t>
  </si>
  <si>
    <t>3.4</t>
  </si>
  <si>
    <t>3.5</t>
  </si>
  <si>
    <t>3.6</t>
  </si>
  <si>
    <t>OBR-003</t>
  </si>
  <si>
    <t>SEM BDI</t>
  </si>
  <si>
    <t>COM BDI</t>
  </si>
  <si>
    <t>JOAQUIM MURTINHO</t>
  </si>
  <si>
    <t>((7,60+7,20)*50)/2</t>
  </si>
  <si>
    <t>((7,20+7,90)*72)/2</t>
  </si>
  <si>
    <t>((7,40+10,80)*1,30)/2</t>
  </si>
  <si>
    <t>((8,25+7,40)*131)/2</t>
  </si>
  <si>
    <t>((8,25+11,30)*1,35)/2</t>
  </si>
  <si>
    <t>((7,90+11,70)*1,30)/2</t>
  </si>
  <si>
    <t>((11,00+7,60)*1,30)/2</t>
  </si>
  <si>
    <t>ÁREA M2 A SER PAVIMENTADA</t>
  </si>
  <si>
    <t>LOCAL:   Rua Joaquim Murtinho</t>
  </si>
  <si>
    <t>MEMORIA DE CÁLCULO DO RECAPEAMENTO  ÁREA PAVIMENTADA</t>
  </si>
  <si>
    <t>1.00</t>
  </si>
  <si>
    <t xml:space="preserve"> Pavimentação de vias públicas urbanas - Recapeamento</t>
  </si>
  <si>
    <t>OBR-VIA-207</t>
  </si>
  <si>
    <t>ALVENARIAPOLIÉDRICA,RETIRADAEREASSENTAMENTOSOBRECOXIM DE AREIA</t>
  </si>
  <si>
    <t>2.2</t>
  </si>
  <si>
    <t>Assinatura do Responsável Técnico: ______________________________________________ Local e Data:  Pains 13 de Março de 2020</t>
  </si>
  <si>
    <t>RUA CORONEL JOSE FERREIRA</t>
  </si>
  <si>
    <t>2.00</t>
  </si>
  <si>
    <t>PADRE FRANCISCO GOULART</t>
  </si>
  <si>
    <t xml:space="preserve">ESTADO DE MINAS GERAIS
Secretaria de Estado de Transportes e Obras Públicas
Superintendência de Coordenação Técnica
Diretoria de Custos
</t>
  </si>
  <si>
    <t>Empreendimento ( Nome/Apelido): Pavimentação de vias públicas urbanas - Recapeamento</t>
  </si>
  <si>
    <t>ESTADO DE MINAS GERAIS
Secretaria de Estado de Transportes e Obras Públicas
Superintendência de Coordenação Técnica
Diretoria de Custos</t>
  </si>
  <si>
    <t>Municipio: Pains - Rua Joaquim Murtinho/ Rua Padre Francisco Goulart</t>
  </si>
  <si>
    <t>LOCAL: Bela Vista</t>
  </si>
  <si>
    <t>OBRA:  Empreendimento ( Nome/Apelido): Pavimentação de vias públicas urbanas - Recapeamento</t>
  </si>
  <si>
    <t>Empreendimento ( Nome/Apelido):  Pavimentação de vias públicas urbanas - Recapeamento</t>
  </si>
  <si>
    <t>IMPRIMAÇÃO (EXECUÇÃO E FORNECIMENTODO MATERIAL BETUMINOSO,  EXCLUSIVE TRANSPORTE DO MATERIAL BETUMINOSO)</t>
  </si>
  <si>
    <t>PINTURA DE LIGAÇÃO (EXECUÇÃO E FORNECIMENTO DO MATERIAL BETUMINOSO, EXCLUSIVE TRANSPORTE DO MATERIAL BETUMINOSO)</t>
  </si>
  <si>
    <t>RO-41365</t>
  </si>
  <si>
    <t xml:space="preserve">TRANSPORTE DE CONCRETO BETUMINOSO USINADO A QUENTE.
DISTÂNCIA MÉDIA DE TRANSPORTE DE 25,10 A 30,00 KM (DENSIDADE DE MATERIAL SOLTO)
 </t>
  </si>
  <si>
    <t xml:space="preserve">OBR-VIA-426  </t>
  </si>
  <si>
    <t>Txkm</t>
  </si>
  <si>
    <t xml:space="preserve">TRANSPORTE DE MATERIAL DE QUALQUER NATUREZA. DISTÂNCIA
MÉDIA DE TRANSPORTE DE 25,10 A 30,00 KM </t>
  </si>
  <si>
    <t>7,30*2</t>
  </si>
  <si>
    <t>7,20*2</t>
  </si>
  <si>
    <t xml:space="preserve">LOC-TOP-005 </t>
  </si>
  <si>
    <t>LOCAÇÃO TOPOGRÁFICA ATE 20 PONTOS U</t>
  </si>
  <si>
    <t>CONCRETO BETUMINOSO USINADO A QUENTE CBUQ (EXECUÇÃO, INCLUINDOUSINAGEM, APLICAÇÃO, ESPALHAMENTO E COMPACTAÇÃO, FORNECIMENTODOS AGREGADOSE MATERIAL BETUMINOSO, EXCLUI TRANSPORTEDOS AGREGADOS E DO MATERIAL BETUMINOSO ATÉ USINA E DA MASSA PRONTA ATÉ A PISTA)</t>
  </si>
  <si>
    <t>CONCRETO BETUMINOSO USINADO  A QUENTE CBUQ (EXECUÇÃO, INCLUINDO USINAGEM, APLICAÇÃO, ESPALHAMENTO  ECOMPACTAÇÃO, FORNECIMENTO DO AGREGADOS E MATERIAL BETUMINOSO, EXCLUI TRANSPORTE DOS AGREGADOS E DO MATERIAL BETUMINOSO ATÉ USINA E DAMASSA PRONTA ATÉ APISTA)</t>
  </si>
  <si>
    <t>((7,35+7,25)*10,90)/2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</si>
</sst>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0_);_(* \(#,##0.00\);_(* &quot;-&quot;??_);_(@_)"/>
    <numFmt numFmtId="169" formatCode="0.0"/>
    <numFmt numFmtId="170" formatCode="0.0%"/>
    <numFmt numFmtId="171" formatCode="_-&quot;R$&quot;\ * #.##0.00_-;\-&quot;R$&quot;\ * #.##0.00_-;_-&quot;R$&quot;\ * &quot;-&quot;??_-;_-@_-"/>
    <numFmt numFmtId="172" formatCode="_-* #.##0.00_-;\-* #.##0.00_-;_-* &quot;-&quot;??_-;_-@_-"/>
    <numFmt numFmtId="173" formatCode="#.##0.00"/>
    <numFmt numFmtId="174" formatCode="_-&quot;R$&quot;\ * #,##0.0_-;\-&quot;R$&quot;\ * #,##0.0_-;_-&quot;R$&quot;\ * &quot;-&quot;??_-;_-@_-"/>
    <numFmt numFmtId="175" formatCode="_-&quot;R$&quot;\ * #,##0.000_-;\-&quot;R$&quot;\ * #,##0.000_-;_-&quot;R$&quot;\ * &quot;-&quot;??_-;_-@_-"/>
    <numFmt numFmtId="176" formatCode="_-&quot;R$&quot;\ * #,##0.0000_-;\-&quot;R$&quot;\ * #,##0.0000_-;_-&quot;R$&quot;\ * &quot;-&quot;??_-;_-@_-"/>
    <numFmt numFmtId="177" formatCode="_-&quot;R$&quot;\ * #,##0.00000_-;\-&quot;R$&quot;\ * #,##0.00000_-;_-&quot;R$&quot;\ * &quot;-&quot;??_-;_-@_-"/>
    <numFmt numFmtId="178" formatCode="_-&quot;R$&quot;\ * #,##0.000000_-;\-&quot;R$&quot;\ * #,##0.000000_-;_-&quot;R$&quot;\ * &quot;-&quot;??_-;_-@_-"/>
    <numFmt numFmtId="179" formatCode="_-&quot;R$&quot;\ * #,##0.0000000_-;\-&quot;R$&quot;\ * #,##0.0000000_-;_-&quot;R$&quot;\ * &quot;-&quot;??_-;_-@_-"/>
    <numFmt numFmtId="180" formatCode="_-&quot;R$&quot;\ * #,##0.00000000_-;\-&quot;R$&quot;\ * #,##0.00000000_-;_-&quot;R$&quot;\ * &quot;-&quot;??_-;_-@_-"/>
    <numFmt numFmtId="181" formatCode="#,##0.000"/>
    <numFmt numFmtId="182" formatCode="#,##0.0000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-* #,##0.0000000_-;\-* #,##0.0000000_-;_-* &quot;-&quot;??_-;_-@_-"/>
    <numFmt numFmtId="188" formatCode="#,##0.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4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9" fontId="3" fillId="0" borderId="14" xfId="49" applyFont="1" applyBorder="1" applyAlignment="1">
      <alignment horizontal="center" vertical="center"/>
    </xf>
    <xf numFmtId="9" fontId="2" fillId="34" borderId="14" xfId="49" applyFont="1" applyFill="1" applyBorder="1" applyAlignment="1">
      <alignment horizontal="center" vertical="center"/>
    </xf>
    <xf numFmtId="44" fontId="3" fillId="0" borderId="14" xfId="45" applyFont="1" applyBorder="1" applyAlignment="1">
      <alignment horizontal="center" vertical="center"/>
    </xf>
    <xf numFmtId="9" fontId="3" fillId="35" borderId="14" xfId="49" applyFont="1" applyFill="1" applyBorder="1" applyAlignment="1">
      <alignment horizontal="center" vertical="center"/>
    </xf>
    <xf numFmtId="0" fontId="55" fillId="0" borderId="0" xfId="0" applyFont="1" applyBorder="1" applyAlignment="1">
      <alignment horizontal="justify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left" vertical="center" wrapText="1"/>
    </xf>
    <xf numFmtId="168" fontId="3" fillId="37" borderId="26" xfId="51" applyNumberFormat="1" applyFont="1" applyFill="1" applyBorder="1" applyAlignment="1">
      <alignment horizontal="left" vertical="center"/>
    </xf>
    <xf numFmtId="168" fontId="3" fillId="37" borderId="27" xfId="51" applyNumberFormat="1" applyFont="1" applyFill="1" applyBorder="1" applyAlignment="1">
      <alignment horizontal="left" vertical="center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168" fontId="3" fillId="37" borderId="26" xfId="51" applyNumberFormat="1" applyFont="1" applyFill="1" applyBorder="1" applyAlignment="1">
      <alignment horizontal="center" vertical="center"/>
    </xf>
    <xf numFmtId="168" fontId="3" fillId="37" borderId="26" xfId="51" applyNumberFormat="1" applyFont="1" applyFill="1" applyBorder="1" applyAlignment="1">
      <alignment vertical="center"/>
    </xf>
    <xf numFmtId="168" fontId="3" fillId="37" borderId="27" xfId="51" applyNumberFormat="1" applyFont="1" applyFill="1" applyBorder="1" applyAlignment="1">
      <alignment vertical="center"/>
    </xf>
    <xf numFmtId="0" fontId="3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right" vertical="center" wrapText="1"/>
    </xf>
    <xf numFmtId="168" fontId="3" fillId="37" borderId="29" xfId="51" applyNumberFormat="1" applyFont="1" applyFill="1" applyBorder="1" applyAlignment="1">
      <alignment vertical="center"/>
    </xf>
    <xf numFmtId="168" fontId="3" fillId="37" borderId="30" xfId="51" applyNumberFormat="1" applyFont="1" applyFill="1" applyBorder="1" applyAlignment="1">
      <alignment vertical="center"/>
    </xf>
    <xf numFmtId="0" fontId="0" fillId="35" borderId="31" xfId="0" applyFill="1" applyBorder="1" applyAlignment="1">
      <alignment/>
    </xf>
    <xf numFmtId="0" fontId="2" fillId="35" borderId="32" xfId="0" applyFont="1" applyFill="1" applyBorder="1" applyAlignment="1">
      <alignment horizontal="right" vertical="center" wrapText="1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168" fontId="2" fillId="35" borderId="34" xfId="0" applyNumberFormat="1" applyFont="1" applyFill="1" applyBorder="1" applyAlignment="1">
      <alignment/>
    </xf>
    <xf numFmtId="168" fontId="2" fillId="35" borderId="3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0" fillId="36" borderId="0" xfId="0" applyNumberFormat="1" applyFill="1" applyBorder="1" applyAlignment="1">
      <alignment vertical="center"/>
    </xf>
    <xf numFmtId="4" fontId="0" fillId="36" borderId="36" xfId="0" applyNumberFormat="1" applyFill="1" applyBorder="1" applyAlignment="1">
      <alignment vertical="center"/>
    </xf>
    <xf numFmtId="4" fontId="2" fillId="35" borderId="20" xfId="0" applyNumberFormat="1" applyFont="1" applyFill="1" applyBorder="1" applyAlignment="1">
      <alignment horizontal="center" vertical="center" wrapText="1"/>
    </xf>
    <xf numFmtId="4" fontId="2" fillId="35" borderId="37" xfId="0" applyNumberFormat="1" applyFont="1" applyFill="1" applyBorder="1" applyAlignment="1">
      <alignment horizontal="center" vertical="center" wrapText="1"/>
    </xf>
    <xf numFmtId="169" fontId="2" fillId="32" borderId="38" xfId="0" applyNumberFormat="1" applyFont="1" applyFill="1" applyBorder="1" applyAlignment="1">
      <alignment horizontal="center" vertical="center"/>
    </xf>
    <xf numFmtId="4" fontId="2" fillId="37" borderId="23" xfId="51" applyNumberFormat="1" applyFont="1" applyFill="1" applyBorder="1" applyAlignment="1">
      <alignment horizontal="center" vertical="center" wrapText="1"/>
    </xf>
    <xf numFmtId="4" fontId="2" fillId="37" borderId="39" xfId="51" applyNumberFormat="1" applyFont="1" applyFill="1" applyBorder="1" applyAlignment="1">
      <alignment horizontal="center" vertical="center" wrapText="1"/>
    </xf>
    <xf numFmtId="4" fontId="3" fillId="37" borderId="26" xfId="51" applyNumberFormat="1" applyFont="1" applyFill="1" applyBorder="1" applyAlignment="1">
      <alignment horizontal="center" vertical="center"/>
    </xf>
    <xf numFmtId="4" fontId="3" fillId="37" borderId="26" xfId="51" applyNumberFormat="1" applyFont="1" applyFill="1" applyBorder="1" applyAlignment="1">
      <alignment vertical="center"/>
    </xf>
    <xf numFmtId="4" fontId="2" fillId="35" borderId="26" xfId="51" applyNumberFormat="1" applyFont="1" applyFill="1" applyBorder="1" applyAlignment="1">
      <alignment vertical="center"/>
    </xf>
    <xf numFmtId="4" fontId="3" fillId="37" borderId="40" xfId="51" applyNumberFormat="1" applyFont="1" applyFill="1" applyBorder="1" applyAlignment="1">
      <alignment vertical="center"/>
    </xf>
    <xf numFmtId="4" fontId="2" fillId="37" borderId="26" xfId="51" applyNumberFormat="1" applyFont="1" applyFill="1" applyBorder="1" applyAlignment="1">
      <alignment vertical="center"/>
    </xf>
    <xf numFmtId="169" fontId="3" fillId="32" borderId="25" xfId="0" applyNumberFormat="1" applyFont="1" applyFill="1" applyBorder="1" applyAlignment="1">
      <alignment horizontal="center" vertical="center"/>
    </xf>
    <xf numFmtId="169" fontId="2" fillId="32" borderId="25" xfId="0" applyNumberFormat="1" applyFont="1" applyFill="1" applyBorder="1" applyAlignment="1">
      <alignment horizontal="center" vertical="center"/>
    </xf>
    <xf numFmtId="168" fontId="3" fillId="35" borderId="26" xfId="51" applyNumberFormat="1" applyFont="1" applyFill="1" applyBorder="1" applyAlignment="1">
      <alignment vertical="center"/>
    </xf>
    <xf numFmtId="10" fontId="2" fillId="38" borderId="41" xfId="0" applyNumberFormat="1" applyFont="1" applyFill="1" applyBorder="1" applyAlignment="1">
      <alignment horizontal="center"/>
    </xf>
    <xf numFmtId="10" fontId="2" fillId="0" borderId="42" xfId="49" applyNumberFormat="1" applyFont="1" applyFill="1" applyBorder="1" applyAlignment="1">
      <alignment/>
    </xf>
    <xf numFmtId="10" fontId="2" fillId="38" borderId="43" xfId="0" applyNumberFormat="1" applyFont="1" applyFill="1" applyBorder="1" applyAlignment="1">
      <alignment horizontal="center"/>
    </xf>
    <xf numFmtId="10" fontId="2" fillId="0" borderId="44" xfId="49" applyNumberFormat="1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NumberFormat="1" applyBorder="1" applyAlignment="1">
      <alignment horizontal="center"/>
    </xf>
    <xf numFmtId="10" fontId="0" fillId="0" borderId="46" xfId="0" applyNumberForma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 horizontal="center"/>
    </xf>
    <xf numFmtId="10" fontId="0" fillId="0" borderId="20" xfId="0" applyNumberFormat="1" applyBorder="1" applyAlignment="1">
      <alignment horizontal="left"/>
    </xf>
    <xf numFmtId="0" fontId="6" fillId="0" borderId="19" xfId="0" applyFont="1" applyBorder="1" applyAlignment="1">
      <alignment/>
    </xf>
    <xf numFmtId="0" fontId="0" fillId="0" borderId="47" xfId="0" applyBorder="1" applyAlignment="1">
      <alignment/>
    </xf>
    <xf numFmtId="0" fontId="0" fillId="0" borderId="43" xfId="0" applyNumberFormat="1" applyBorder="1" applyAlignment="1">
      <alignment horizontal="center"/>
    </xf>
    <xf numFmtId="10" fontId="0" fillId="0" borderId="43" xfId="0" applyNumberFormat="1" applyBorder="1" applyAlignment="1">
      <alignment horizontal="left"/>
    </xf>
    <xf numFmtId="168" fontId="3" fillId="39" borderId="27" xfId="51" applyNumberFormat="1" applyFont="1" applyFill="1" applyBorder="1" applyAlignment="1">
      <alignment horizontal="center" vertical="center"/>
    </xf>
    <xf numFmtId="168" fontId="3" fillId="39" borderId="30" xfId="51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14" xfId="0" applyBorder="1" applyAlignment="1">
      <alignment/>
    </xf>
    <xf numFmtId="0" fontId="0" fillId="0" borderId="52" xfId="0" applyBorder="1" applyAlignment="1">
      <alignment/>
    </xf>
    <xf numFmtId="0" fontId="56" fillId="0" borderId="0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6" fillId="0" borderId="36" xfId="0" applyFont="1" applyBorder="1" applyAlignment="1">
      <alignment vertical="top"/>
    </xf>
    <xf numFmtId="0" fontId="57" fillId="0" borderId="36" xfId="0" applyFont="1" applyBorder="1" applyAlignment="1">
      <alignment vertical="top"/>
    </xf>
    <xf numFmtId="4" fontId="0" fillId="36" borderId="15" xfId="0" applyNumberFormat="1" applyFill="1" applyBorder="1" applyAlignment="1">
      <alignment vertical="center"/>
    </xf>
    <xf numFmtId="4" fontId="2" fillId="36" borderId="53" xfId="0" applyNumberFormat="1" applyFont="1" applyFill="1" applyBorder="1" applyAlignment="1">
      <alignment horizontal="right" vertical="center"/>
    </xf>
    <xf numFmtId="4" fontId="0" fillId="36" borderId="52" xfId="0" applyNumberForma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4" fontId="2" fillId="36" borderId="15" xfId="0" applyNumberFormat="1" applyFont="1" applyFill="1" applyBorder="1" applyAlignment="1">
      <alignment vertical="center"/>
    </xf>
    <xf numFmtId="0" fontId="0" fillId="36" borderId="51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4" fontId="0" fillId="36" borderId="14" xfId="0" applyNumberFormat="1" applyFill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4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4" fontId="61" fillId="0" borderId="20" xfId="45" applyFont="1" applyBorder="1" applyAlignment="1">
      <alignment horizontal="justify" vertical="center" wrapText="1"/>
    </xf>
    <xf numFmtId="44" fontId="0" fillId="0" borderId="20" xfId="45" applyFont="1" applyBorder="1" applyAlignment="1">
      <alignment vertical="center"/>
    </xf>
    <xf numFmtId="44" fontId="2" fillId="34" borderId="14" xfId="45" applyFont="1" applyFill="1" applyBorder="1" applyAlignment="1">
      <alignment vertical="center"/>
    </xf>
    <xf numFmtId="44" fontId="2" fillId="33" borderId="14" xfId="0" applyNumberFormat="1" applyFont="1" applyFill="1" applyBorder="1" applyAlignment="1">
      <alignment horizontal="center" vertical="center"/>
    </xf>
    <xf numFmtId="44" fontId="61" fillId="0" borderId="0" xfId="45" applyFont="1" applyBorder="1" applyAlignment="1">
      <alignment horizontal="right" vertical="center" wrapText="1"/>
    </xf>
    <xf numFmtId="44" fontId="62" fillId="0" borderId="54" xfId="45" applyFont="1" applyBorder="1" applyAlignment="1">
      <alignment horizontal="right" vertical="center" wrapText="1"/>
    </xf>
    <xf numFmtId="44" fontId="63" fillId="0" borderId="54" xfId="45" applyFont="1" applyBorder="1" applyAlignment="1">
      <alignment horizontal="right" vertical="center" wrapText="1"/>
    </xf>
    <xf numFmtId="44" fontId="63" fillId="40" borderId="54" xfId="45" applyFont="1" applyFill="1" applyBorder="1" applyAlignment="1">
      <alignment horizontal="right" vertical="center" wrapText="1"/>
    </xf>
    <xf numFmtId="0" fontId="64" fillId="40" borderId="54" xfId="0" applyFont="1" applyFill="1" applyBorder="1" applyAlignment="1">
      <alignment horizontal="center" vertical="center"/>
    </xf>
    <xf numFmtId="4" fontId="63" fillId="40" borderId="54" xfId="0" applyNumberFormat="1" applyFont="1" applyFill="1" applyBorder="1" applyAlignment="1">
      <alignment horizontal="center" vertical="center" wrapText="1"/>
    </xf>
    <xf numFmtId="0" fontId="63" fillId="40" borderId="54" xfId="0" applyFont="1" applyFill="1" applyBorder="1" applyAlignment="1">
      <alignment horizontal="center" vertical="center" wrapText="1"/>
    </xf>
    <xf numFmtId="0" fontId="61" fillId="0" borderId="54" xfId="0" applyFont="1" applyBorder="1" applyAlignment="1">
      <alignment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10" fontId="3" fillId="0" borderId="14" xfId="49" applyNumberFormat="1" applyFont="1" applyBorder="1" applyAlignment="1">
      <alignment horizontal="center" vertical="center"/>
    </xf>
    <xf numFmtId="4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6" fillId="0" borderId="49" xfId="0" applyFont="1" applyBorder="1" applyAlignment="1">
      <alignment vertical="top"/>
    </xf>
    <xf numFmtId="0" fontId="2" fillId="36" borderId="55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7" borderId="6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left" vertical="center" wrapText="1"/>
    </xf>
    <xf numFmtId="168" fontId="3" fillId="37" borderId="61" xfId="51" applyNumberFormat="1" applyFont="1" applyFill="1" applyBorder="1" applyAlignment="1">
      <alignment horizontal="left" vertical="center"/>
    </xf>
    <xf numFmtId="0" fontId="2" fillId="32" borderId="62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vertical="center" wrapText="1"/>
    </xf>
    <xf numFmtId="168" fontId="2" fillId="37" borderId="26" xfId="51" applyNumberFormat="1" applyFont="1" applyFill="1" applyBorder="1" applyAlignment="1">
      <alignment vertical="center"/>
    </xf>
    <xf numFmtId="168" fontId="2" fillId="37" borderId="27" xfId="51" applyNumberFormat="1" applyFont="1" applyFill="1" applyBorder="1" applyAlignment="1">
      <alignment vertical="center"/>
    </xf>
    <xf numFmtId="168" fontId="2" fillId="37" borderId="61" xfId="51" applyNumberFormat="1" applyFont="1" applyFill="1" applyBorder="1" applyAlignment="1">
      <alignment vertical="center"/>
    </xf>
    <xf numFmtId="0" fontId="3" fillId="32" borderId="63" xfId="0" applyFont="1" applyFill="1" applyBorder="1" applyAlignment="1">
      <alignment horizontal="left" vertical="center" wrapText="1"/>
    </xf>
    <xf numFmtId="0" fontId="2" fillId="32" borderId="64" xfId="0" applyFont="1" applyFill="1" applyBorder="1" applyAlignment="1">
      <alignment horizontal="right" vertical="center" wrapText="1"/>
    </xf>
    <xf numFmtId="168" fontId="3" fillId="37" borderId="65" xfId="51" applyNumberFormat="1" applyFont="1" applyFill="1" applyBorder="1" applyAlignment="1">
      <alignment horizontal="center" vertical="center"/>
    </xf>
    <xf numFmtId="168" fontId="3" fillId="37" borderId="64" xfId="51" applyNumberFormat="1" applyFont="1" applyFill="1" applyBorder="1" applyAlignment="1">
      <alignment vertical="center"/>
    </xf>
    <xf numFmtId="168" fontId="3" fillId="37" borderId="66" xfId="51" applyNumberFormat="1" applyFont="1" applyFill="1" applyBorder="1" applyAlignment="1">
      <alignment horizontal="left" vertical="center"/>
    </xf>
    <xf numFmtId="168" fontId="2" fillId="37" borderId="65" xfId="51" applyNumberFormat="1" applyFont="1" applyFill="1" applyBorder="1" applyAlignment="1">
      <alignment vertical="center"/>
    </xf>
    <xf numFmtId="168" fontId="3" fillId="37" borderId="67" xfId="51" applyNumberFormat="1" applyFont="1" applyFill="1" applyBorder="1" applyAlignment="1">
      <alignment vertical="center"/>
    </xf>
    <xf numFmtId="168" fontId="3" fillId="37" borderId="67" xfId="51" applyNumberFormat="1" applyFont="1" applyFill="1" applyBorder="1" applyAlignment="1">
      <alignment horizontal="left" vertical="center"/>
    </xf>
    <xf numFmtId="168" fontId="3" fillId="37" borderId="65" xfId="51" applyNumberFormat="1" applyFont="1" applyFill="1" applyBorder="1" applyAlignment="1">
      <alignment horizontal="left" vertical="center"/>
    </xf>
    <xf numFmtId="168" fontId="3" fillId="37" borderId="68" xfId="51" applyNumberFormat="1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right" vertical="center" wrapText="1"/>
    </xf>
    <xf numFmtId="0" fontId="3" fillId="32" borderId="69" xfId="0" applyFont="1" applyFill="1" applyBorder="1" applyAlignment="1">
      <alignment horizontal="left" vertical="center" wrapText="1"/>
    </xf>
    <xf numFmtId="0" fontId="2" fillId="32" borderId="65" xfId="0" applyFont="1" applyFill="1" applyBorder="1" applyAlignment="1">
      <alignment horizontal="right" vertical="center" wrapText="1"/>
    </xf>
    <xf numFmtId="168" fontId="3" fillId="37" borderId="62" xfId="51" applyNumberFormat="1" applyFont="1" applyFill="1" applyBorder="1" applyAlignment="1">
      <alignment horizontal="center" vertical="center"/>
    </xf>
    <xf numFmtId="168" fontId="3" fillId="37" borderId="62" xfId="51" applyNumberFormat="1" applyFont="1" applyFill="1" applyBorder="1" applyAlignment="1">
      <alignment vertical="center"/>
    </xf>
    <xf numFmtId="168" fontId="3" fillId="37" borderId="62" xfId="51" applyNumberFormat="1" applyFont="1" applyFill="1" applyBorder="1" applyAlignment="1">
      <alignment horizontal="left" vertical="center"/>
    </xf>
    <xf numFmtId="168" fontId="3" fillId="37" borderId="70" xfId="51" applyNumberFormat="1" applyFont="1" applyFill="1" applyBorder="1" applyAlignment="1">
      <alignment vertical="center"/>
    </xf>
    <xf numFmtId="168" fontId="3" fillId="37" borderId="70" xfId="51" applyNumberFormat="1" applyFont="1" applyFill="1" applyBorder="1" applyAlignment="1">
      <alignment horizontal="left" vertical="center"/>
    </xf>
    <xf numFmtId="168" fontId="3" fillId="37" borderId="71" xfId="51" applyNumberFormat="1" applyFont="1" applyFill="1" applyBorder="1" applyAlignment="1">
      <alignment horizontal="left" vertical="center"/>
    </xf>
    <xf numFmtId="168" fontId="3" fillId="37" borderId="30" xfId="51" applyNumberFormat="1" applyFont="1" applyFill="1" applyBorder="1" applyAlignment="1">
      <alignment horizontal="center" vertical="center"/>
    </xf>
    <xf numFmtId="168" fontId="2" fillId="37" borderId="58" xfId="51" applyNumberFormat="1" applyFont="1" applyFill="1" applyBorder="1" applyAlignment="1">
      <alignment vertical="center"/>
    </xf>
    <xf numFmtId="168" fontId="2" fillId="37" borderId="72" xfId="51" applyNumberFormat="1" applyFont="1" applyFill="1" applyBorder="1" applyAlignment="1">
      <alignment vertical="center"/>
    </xf>
    <xf numFmtId="168" fontId="2" fillId="37" borderId="73" xfId="51" applyNumberFormat="1" applyFont="1" applyFill="1" applyBorder="1" applyAlignment="1">
      <alignment vertical="center"/>
    </xf>
    <xf numFmtId="168" fontId="2" fillId="37" borderId="14" xfId="51" applyNumberFormat="1" applyFont="1" applyFill="1" applyBorder="1" applyAlignment="1">
      <alignment vertical="center"/>
    </xf>
    <xf numFmtId="169" fontId="2" fillId="32" borderId="28" xfId="0" applyNumberFormat="1" applyFont="1" applyFill="1" applyBorder="1" applyAlignment="1">
      <alignment horizontal="center" vertical="center"/>
    </xf>
    <xf numFmtId="4" fontId="3" fillId="37" borderId="29" xfId="51" applyNumberFormat="1" applyFont="1" applyFill="1" applyBorder="1" applyAlignment="1">
      <alignment horizontal="center" vertical="center"/>
    </xf>
    <xf numFmtId="4" fontId="3" fillId="37" borderId="29" xfId="51" applyNumberFormat="1" applyFont="1" applyFill="1" applyBorder="1" applyAlignment="1">
      <alignment vertical="center"/>
    </xf>
    <xf numFmtId="4" fontId="3" fillId="37" borderId="74" xfId="51" applyNumberFormat="1" applyFont="1" applyFill="1" applyBorder="1" applyAlignment="1">
      <alignment vertical="center"/>
    </xf>
    <xf numFmtId="0" fontId="62" fillId="0" borderId="54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 wrapText="1"/>
    </xf>
    <xf numFmtId="4" fontId="62" fillId="0" borderId="54" xfId="0" applyNumberFormat="1" applyFont="1" applyBorder="1" applyAlignment="1">
      <alignment horizontal="center" vertical="center" wrapText="1"/>
    </xf>
    <xf numFmtId="44" fontId="62" fillId="0" borderId="54" xfId="45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2" fillId="40" borderId="5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63" fillId="0" borderId="54" xfId="0" applyNumberFormat="1" applyFont="1" applyBorder="1" applyAlignment="1">
      <alignment horizontal="center" vertical="center" wrapText="1"/>
    </xf>
    <xf numFmtId="44" fontId="63" fillId="0" borderId="54" xfId="45" applyFont="1" applyBorder="1" applyAlignment="1">
      <alignment horizontal="justify" vertical="center" wrapText="1"/>
    </xf>
    <xf numFmtId="44" fontId="62" fillId="40" borderId="54" xfId="45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168" fontId="2" fillId="37" borderId="30" xfId="51" applyNumberFormat="1" applyFont="1" applyFill="1" applyBorder="1" applyAlignment="1">
      <alignment horizontal="center" vertical="center"/>
    </xf>
    <xf numFmtId="168" fontId="2" fillId="35" borderId="3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75" xfId="0" applyFont="1" applyFill="1" applyBorder="1" applyAlignment="1">
      <alignment horizontal="center" vertical="center" wrapText="1"/>
    </xf>
    <xf numFmtId="168" fontId="2" fillId="37" borderId="76" xfId="51" applyNumberFormat="1" applyFont="1" applyFill="1" applyBorder="1" applyAlignment="1">
      <alignment vertical="center"/>
    </xf>
    <xf numFmtId="0" fontId="2" fillId="35" borderId="33" xfId="0" applyFont="1" applyFill="1" applyBorder="1" applyAlignment="1">
      <alignment vertical="center" wrapText="1"/>
    </xf>
    <xf numFmtId="0" fontId="2" fillId="35" borderId="34" xfId="0" applyFont="1" applyFill="1" applyBorder="1" applyAlignment="1">
      <alignment vertical="center" wrapText="1"/>
    </xf>
    <xf numFmtId="10" fontId="2" fillId="0" borderId="54" xfId="49" applyNumberFormat="1" applyFont="1" applyFill="1" applyBorder="1" applyAlignment="1">
      <alignment vertical="center"/>
    </xf>
    <xf numFmtId="168" fontId="2" fillId="39" borderId="27" xfId="51" applyNumberFormat="1" applyFont="1" applyFill="1" applyBorder="1" applyAlignment="1">
      <alignment horizontal="center" vertical="center"/>
    </xf>
    <xf numFmtId="168" fontId="3" fillId="37" borderId="40" xfId="51" applyNumberFormat="1" applyFont="1" applyFill="1" applyBorder="1" applyAlignment="1">
      <alignment horizontal="center" vertical="center"/>
    </xf>
    <xf numFmtId="168" fontId="2" fillId="37" borderId="40" xfId="51" applyNumberFormat="1" applyFont="1" applyFill="1" applyBorder="1" applyAlignment="1">
      <alignment horizontal="center" vertical="center"/>
    </xf>
    <xf numFmtId="44" fontId="63" fillId="36" borderId="54" xfId="45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168" fontId="3" fillId="37" borderId="0" xfId="51" applyNumberFormat="1" applyFont="1" applyFill="1" applyBorder="1" applyAlignment="1">
      <alignment vertical="center"/>
    </xf>
    <xf numFmtId="169" fontId="3" fillId="32" borderId="38" xfId="0" applyNumberFormat="1" applyFont="1" applyFill="1" applyBorder="1" applyAlignment="1">
      <alignment horizontal="center" vertical="center"/>
    </xf>
    <xf numFmtId="168" fontId="61" fillId="35" borderId="33" xfId="0" applyNumberFormat="1" applyFont="1" applyFill="1" applyBorder="1" applyAlignment="1">
      <alignment/>
    </xf>
    <xf numFmtId="4" fontId="2" fillId="35" borderId="40" xfId="51" applyNumberFormat="1" applyFont="1" applyFill="1" applyBorder="1" applyAlignment="1">
      <alignment vertical="center"/>
    </xf>
    <xf numFmtId="0" fontId="58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10" fontId="3" fillId="35" borderId="14" xfId="49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4" fontId="0" fillId="0" borderId="20" xfId="45" applyFont="1" applyBorder="1" applyAlignment="1">
      <alignment vertical="center"/>
    </xf>
    <xf numFmtId="4" fontId="61" fillId="40" borderId="54" xfId="0" applyNumberFormat="1" applyFont="1" applyFill="1" applyBorder="1" applyAlignment="1">
      <alignment horizontal="center" vertical="center" wrapText="1"/>
    </xf>
    <xf numFmtId="0" fontId="58" fillId="40" borderId="54" xfId="0" applyFont="1" applyFill="1" applyBorder="1" applyAlignment="1">
      <alignment horizontal="center" vertical="center" wrapText="1"/>
    </xf>
    <xf numFmtId="0" fontId="61" fillId="40" borderId="54" xfId="0" applyFont="1" applyFill="1" applyBorder="1" applyAlignment="1">
      <alignment horizontal="center" vertical="center" wrapText="1"/>
    </xf>
    <xf numFmtId="44" fontId="63" fillId="40" borderId="54" xfId="0" applyNumberFormat="1" applyFont="1" applyFill="1" applyBorder="1" applyAlignment="1">
      <alignment horizontal="center" vertical="center" wrapText="1"/>
    </xf>
    <xf numFmtId="4" fontId="62" fillId="40" borderId="54" xfId="0" applyNumberFormat="1" applyFont="1" applyFill="1" applyBorder="1" applyAlignment="1">
      <alignment horizontal="center" vertical="center" wrapText="1"/>
    </xf>
    <xf numFmtId="0" fontId="62" fillId="36" borderId="54" xfId="0" applyFont="1" applyFill="1" applyBorder="1" applyAlignment="1">
      <alignment horizontal="center" vertical="center" wrapText="1"/>
    </xf>
    <xf numFmtId="4" fontId="62" fillId="36" borderId="54" xfId="0" applyNumberFormat="1" applyFont="1" applyFill="1" applyBorder="1" applyAlignment="1">
      <alignment horizontal="center" vertical="center" wrapText="1"/>
    </xf>
    <xf numFmtId="0" fontId="63" fillId="36" borderId="54" xfId="0" applyFont="1" applyFill="1" applyBorder="1" applyAlignment="1">
      <alignment horizontal="center" vertical="center" wrapText="1"/>
    </xf>
    <xf numFmtId="4" fontId="63" fillId="36" borderId="54" xfId="0" applyNumberFormat="1" applyFont="1" applyFill="1" applyBorder="1" applyAlignment="1">
      <alignment horizontal="center" vertical="center" wrapText="1"/>
    </xf>
    <xf numFmtId="44" fontId="62" fillId="36" borderId="54" xfId="45" applyFont="1" applyFill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0" fontId="61" fillId="0" borderId="54" xfId="0" applyNumberFormat="1" applyFont="1" applyBorder="1" applyAlignment="1">
      <alignment vertical="center" wrapText="1"/>
    </xf>
    <xf numFmtId="0" fontId="65" fillId="0" borderId="54" xfId="0" applyFont="1" applyBorder="1" applyAlignment="1">
      <alignment horizontal="left" vertical="center" wrapText="1"/>
    </xf>
    <xf numFmtId="0" fontId="61" fillId="36" borderId="54" xfId="0" applyFont="1" applyFill="1" applyBorder="1" applyAlignment="1">
      <alignment horizontal="left" vertical="top" wrapText="1"/>
    </xf>
    <xf numFmtId="0" fontId="61" fillId="0" borderId="54" xfId="0" applyFont="1" applyBorder="1" applyAlignment="1">
      <alignment horizontal="left" vertical="top" wrapText="1"/>
    </xf>
    <xf numFmtId="0" fontId="63" fillId="0" borderId="54" xfId="0" applyFont="1" applyBorder="1" applyAlignment="1">
      <alignment horizontal="center" vertical="center" wrapText="1"/>
    </xf>
    <xf numFmtId="0" fontId="58" fillId="32" borderId="31" xfId="0" applyFont="1" applyFill="1" applyBorder="1" applyAlignment="1">
      <alignment horizontal="left" vertical="top" wrapText="1"/>
    </xf>
    <xf numFmtId="0" fontId="58" fillId="32" borderId="77" xfId="0" applyFont="1" applyFill="1" applyBorder="1" applyAlignment="1">
      <alignment horizontal="left" vertical="top" wrapText="1"/>
    </xf>
    <xf numFmtId="0" fontId="0" fillId="0" borderId="78" xfId="0" applyBorder="1" applyAlignment="1">
      <alignment vertical="center"/>
    </xf>
    <xf numFmtId="0" fontId="60" fillId="0" borderId="0" xfId="0" applyFont="1" applyBorder="1" applyAlignment="1">
      <alignment horizontal="center" vertical="top"/>
    </xf>
    <xf numFmtId="0" fontId="66" fillId="41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10" fontId="61" fillId="0" borderId="0" xfId="0" applyNumberFormat="1" applyFont="1" applyBorder="1" applyAlignment="1">
      <alignment vertical="center" wrapText="1"/>
    </xf>
    <xf numFmtId="0" fontId="61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center" vertical="center" wrapText="1"/>
    </xf>
    <xf numFmtId="44" fontId="63" fillId="40" borderId="0" xfId="0" applyNumberFormat="1" applyFont="1" applyFill="1" applyBorder="1" applyAlignment="1">
      <alignment horizontal="center" vertical="center" wrapText="1"/>
    </xf>
    <xf numFmtId="44" fontId="62" fillId="0" borderId="0" xfId="45" applyFont="1" applyBorder="1" applyAlignment="1">
      <alignment horizontal="right" vertical="center" wrapText="1"/>
    </xf>
    <xf numFmtId="44" fontId="63" fillId="0" borderId="0" xfId="45" applyFont="1" applyBorder="1" applyAlignment="1">
      <alignment horizontal="right" vertical="center" wrapText="1"/>
    </xf>
    <xf numFmtId="44" fontId="63" fillId="40" borderId="0" xfId="45" applyFont="1" applyFill="1" applyBorder="1" applyAlignment="1">
      <alignment horizontal="right" vertical="center" wrapText="1"/>
    </xf>
    <xf numFmtId="44" fontId="63" fillId="36" borderId="0" xfId="45" applyFont="1" applyFill="1" applyBorder="1" applyAlignment="1">
      <alignment horizontal="right" vertical="center" wrapText="1"/>
    </xf>
    <xf numFmtId="44" fontId="62" fillId="0" borderId="54" xfId="45" applyNumberFormat="1" applyFont="1" applyBorder="1" applyAlignment="1">
      <alignment horizontal="right" vertical="center" wrapText="1"/>
    </xf>
    <xf numFmtId="169" fontId="3" fillId="32" borderId="79" xfId="0" applyNumberFormat="1" applyFont="1" applyFill="1" applyBorder="1" applyAlignment="1">
      <alignment horizontal="center" vertical="center"/>
    </xf>
    <xf numFmtId="4" fontId="3" fillId="37" borderId="62" xfId="51" applyNumberFormat="1" applyFont="1" applyFill="1" applyBorder="1" applyAlignment="1">
      <alignment horizontal="center" vertical="center"/>
    </xf>
    <xf numFmtId="4" fontId="3" fillId="37" borderId="62" xfId="51" applyNumberFormat="1" applyFont="1" applyFill="1" applyBorder="1" applyAlignment="1">
      <alignment vertical="center"/>
    </xf>
    <xf numFmtId="4" fontId="3" fillId="37" borderId="80" xfId="51" applyNumberFormat="1" applyFont="1" applyFill="1" applyBorder="1" applyAlignment="1">
      <alignment vertical="center"/>
    </xf>
    <xf numFmtId="169" fontId="3" fillId="32" borderId="28" xfId="0" applyNumberFormat="1" applyFont="1" applyFill="1" applyBorder="1" applyAlignment="1">
      <alignment horizontal="center" vertical="center"/>
    </xf>
    <xf numFmtId="4" fontId="3" fillId="37" borderId="65" xfId="51" applyNumberFormat="1" applyFont="1" applyFill="1" applyBorder="1" applyAlignment="1">
      <alignment horizontal="center" vertical="center"/>
    </xf>
    <xf numFmtId="4" fontId="3" fillId="37" borderId="65" xfId="51" applyNumberFormat="1" applyFont="1" applyFill="1" applyBorder="1" applyAlignment="1">
      <alignment vertical="center"/>
    </xf>
    <xf numFmtId="4" fontId="2" fillId="35" borderId="65" xfId="51" applyNumberFormat="1" applyFont="1" applyFill="1" applyBorder="1" applyAlignment="1">
      <alignment vertical="center"/>
    </xf>
    <xf numFmtId="44" fontId="0" fillId="0" borderId="0" xfId="45" applyFont="1" applyAlignment="1">
      <alignment horizontal="center" vertical="center"/>
    </xf>
    <xf numFmtId="44" fontId="63" fillId="40" borderId="54" xfId="45" applyNumberFormat="1" applyFont="1" applyFill="1" applyBorder="1" applyAlignment="1">
      <alignment horizontal="right" vertical="center" wrapText="1"/>
    </xf>
    <xf numFmtId="0" fontId="60" fillId="36" borderId="57" xfId="0" applyFont="1" applyFill="1" applyBorder="1" applyAlignment="1">
      <alignment horizontal="center" vertical="top"/>
    </xf>
    <xf numFmtId="0" fontId="67" fillId="36" borderId="57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vertical="center"/>
    </xf>
    <xf numFmtId="0" fontId="61" fillId="36" borderId="57" xfId="0" applyFont="1" applyFill="1" applyBorder="1" applyAlignment="1">
      <alignment horizontal="left" vertical="center" wrapText="1"/>
    </xf>
    <xf numFmtId="0" fontId="61" fillId="36" borderId="57" xfId="0" applyFont="1" applyFill="1" applyBorder="1" applyAlignment="1">
      <alignment horizontal="center" vertical="center" wrapText="1"/>
    </xf>
    <xf numFmtId="0" fontId="61" fillId="36" borderId="57" xfId="0" applyFont="1" applyFill="1" applyBorder="1" applyAlignment="1">
      <alignment horizontal="justify" vertical="center" wrapText="1"/>
    </xf>
    <xf numFmtId="44" fontId="61" fillId="36" borderId="57" xfId="0" applyNumberFormat="1" applyFont="1" applyFill="1" applyBorder="1" applyAlignment="1">
      <alignment horizontal="center" vertical="center" wrapText="1"/>
    </xf>
    <xf numFmtId="44" fontId="62" fillId="36" borderId="57" xfId="45" applyFont="1" applyFill="1" applyBorder="1" applyAlignment="1">
      <alignment horizontal="right" vertical="center" wrapText="1"/>
    </xf>
    <xf numFmtId="44" fontId="61" fillId="36" borderId="57" xfId="45" applyFont="1" applyFill="1" applyBorder="1" applyAlignment="1">
      <alignment horizontal="right" vertical="center" wrapText="1"/>
    </xf>
    <xf numFmtId="0" fontId="58" fillId="36" borderId="57" xfId="0" applyFont="1" applyFill="1" applyBorder="1" applyAlignment="1">
      <alignment horizontal="left" vertical="center"/>
    </xf>
    <xf numFmtId="0" fontId="55" fillId="36" borderId="57" xfId="0" applyFont="1" applyFill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175" fontId="62" fillId="0" borderId="54" xfId="45" applyNumberFormat="1" applyFont="1" applyBorder="1" applyAlignment="1">
      <alignment horizontal="right" vertical="center" wrapText="1"/>
    </xf>
    <xf numFmtId="44" fontId="62" fillId="0" borderId="0" xfId="45" applyNumberFormat="1" applyFont="1" applyBorder="1" applyAlignment="1">
      <alignment horizontal="right" vertical="center" wrapText="1"/>
    </xf>
    <xf numFmtId="177" fontId="62" fillId="0" borderId="0" xfId="45" applyNumberFormat="1" applyFont="1" applyBorder="1" applyAlignment="1">
      <alignment horizontal="right" vertical="center" wrapText="1"/>
    </xf>
    <xf numFmtId="176" fontId="63" fillId="40" borderId="0" xfId="45" applyNumberFormat="1" applyFont="1" applyFill="1" applyBorder="1" applyAlignment="1">
      <alignment horizontal="right" vertical="center" wrapText="1"/>
    </xf>
    <xf numFmtId="10" fontId="61" fillId="36" borderId="0" xfId="0" applyNumberFormat="1" applyFont="1" applyFill="1" applyBorder="1" applyAlignment="1">
      <alignment vertical="center" wrapText="1"/>
    </xf>
    <xf numFmtId="4" fontId="63" fillId="40" borderId="54" xfId="51" applyNumberFormat="1" applyFont="1" applyFill="1" applyBorder="1" applyAlignment="1">
      <alignment horizontal="right" vertical="center" wrapText="1"/>
    </xf>
    <xf numFmtId="188" fontId="0" fillId="36" borderId="81" xfId="0" applyNumberFormat="1" applyFont="1" applyFill="1" applyBorder="1" applyAlignment="1">
      <alignment vertical="center"/>
    </xf>
    <xf numFmtId="188" fontId="60" fillId="36" borderId="57" xfId="0" applyNumberFormat="1" applyFont="1" applyFill="1" applyBorder="1" applyAlignment="1">
      <alignment horizontal="center" vertical="top"/>
    </xf>
    <xf numFmtId="188" fontId="67" fillId="36" borderId="57" xfId="0" applyNumberFormat="1" applyFont="1" applyFill="1" applyBorder="1" applyAlignment="1">
      <alignment horizontal="center" vertical="center"/>
    </xf>
    <xf numFmtId="188" fontId="0" fillId="36" borderId="57" xfId="0" applyNumberFormat="1" applyFont="1" applyFill="1" applyBorder="1" applyAlignment="1">
      <alignment vertical="center"/>
    </xf>
    <xf numFmtId="188" fontId="61" fillId="36" borderId="57" xfId="0" applyNumberFormat="1" applyFont="1" applyFill="1" applyBorder="1" applyAlignment="1">
      <alignment horizontal="left" vertical="center" wrapText="1"/>
    </xf>
    <xf numFmtId="188" fontId="61" fillId="36" borderId="57" xfId="0" applyNumberFormat="1" applyFont="1" applyFill="1" applyBorder="1" applyAlignment="1">
      <alignment horizontal="center" vertical="center" wrapText="1"/>
    </xf>
    <xf numFmtId="188" fontId="61" fillId="36" borderId="57" xfId="0" applyNumberFormat="1" applyFont="1" applyFill="1" applyBorder="1" applyAlignment="1">
      <alignment vertical="center" wrapText="1"/>
    </xf>
    <xf numFmtId="188" fontId="61" fillId="36" borderId="57" xfId="0" applyNumberFormat="1" applyFont="1" applyFill="1" applyBorder="1" applyAlignment="1">
      <alignment horizontal="justify" vertical="center" wrapText="1"/>
    </xf>
    <xf numFmtId="188" fontId="62" fillId="36" borderId="57" xfId="45" applyNumberFormat="1" applyFont="1" applyFill="1" applyBorder="1" applyAlignment="1">
      <alignment horizontal="right" vertical="center" wrapText="1"/>
    </xf>
    <xf numFmtId="188" fontId="61" fillId="36" borderId="57" xfId="45" applyNumberFormat="1" applyFont="1" applyFill="1" applyBorder="1" applyAlignment="1">
      <alignment horizontal="right" vertical="center" wrapText="1"/>
    </xf>
    <xf numFmtId="188" fontId="58" fillId="36" borderId="57" xfId="0" applyNumberFormat="1" applyFont="1" applyFill="1" applyBorder="1" applyAlignment="1">
      <alignment horizontal="left" vertical="center"/>
    </xf>
    <xf numFmtId="188" fontId="55" fillId="36" borderId="57" xfId="0" applyNumberFormat="1" applyFont="1" applyFill="1" applyBorder="1" applyAlignment="1">
      <alignment horizontal="left" vertical="center"/>
    </xf>
    <xf numFmtId="188" fontId="0" fillId="36" borderId="82" xfId="0" applyNumberFormat="1" applyFont="1" applyFill="1" applyBorder="1" applyAlignment="1">
      <alignment vertical="center"/>
    </xf>
    <xf numFmtId="188" fontId="0" fillId="36" borderId="0" xfId="0" applyNumberFormat="1" applyFont="1" applyFill="1" applyAlignment="1">
      <alignment vertical="center"/>
    </xf>
    <xf numFmtId="43" fontId="0" fillId="0" borderId="0" xfId="0" applyNumberFormat="1" applyAlignment="1">
      <alignment/>
    </xf>
    <xf numFmtId="0" fontId="57" fillId="0" borderId="0" xfId="0" applyFont="1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5" fillId="36" borderId="37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left" vertical="center" wrapText="1"/>
    </xf>
    <xf numFmtId="0" fontId="2" fillId="42" borderId="20" xfId="0" applyFont="1" applyFill="1" applyBorder="1" applyAlignment="1">
      <alignment horizontal="left" vertical="center"/>
    </xf>
    <xf numFmtId="0" fontId="2" fillId="42" borderId="20" xfId="0" applyFont="1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168" fontId="3" fillId="37" borderId="36" xfId="51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/>
    </xf>
    <xf numFmtId="0" fontId="60" fillId="0" borderId="0" xfId="0" applyFont="1" applyBorder="1" applyAlignment="1">
      <alignment vertical="top" wrapText="1"/>
    </xf>
    <xf numFmtId="0" fontId="2" fillId="36" borderId="0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36" xfId="0" applyFont="1" applyFill="1" applyBorder="1" applyAlignment="1">
      <alignment vertical="center"/>
    </xf>
    <xf numFmtId="0" fontId="2" fillId="0" borderId="54" xfId="0" applyFont="1" applyBorder="1" applyAlignment="1">
      <alignment vertical="top" wrapText="1"/>
    </xf>
    <xf numFmtId="0" fontId="55" fillId="0" borderId="0" xfId="0" applyFont="1" applyBorder="1" applyAlignment="1">
      <alignment/>
    </xf>
    <xf numFmtId="181" fontId="3" fillId="37" borderId="26" xfId="51" applyNumberFormat="1" applyFont="1" applyFill="1" applyBorder="1" applyAlignment="1">
      <alignment vertical="center"/>
    </xf>
    <xf numFmtId="168" fontId="3" fillId="39" borderId="0" xfId="5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0" fillId="0" borderId="0" xfId="0" applyFont="1" applyBorder="1" applyAlignment="1">
      <alignment horizontal="left" vertical="top" wrapText="1"/>
    </xf>
    <xf numFmtId="168" fontId="3" fillId="37" borderId="27" xfId="51" applyNumberFormat="1" applyFont="1" applyFill="1" applyBorder="1" applyAlignment="1">
      <alignment horizontal="center" vertical="center"/>
    </xf>
    <xf numFmtId="168" fontId="3" fillId="37" borderId="83" xfId="51" applyNumberFormat="1" applyFont="1" applyFill="1" applyBorder="1" applyAlignment="1">
      <alignment horizontal="center" vertical="center"/>
    </xf>
    <xf numFmtId="168" fontId="3" fillId="37" borderId="61" xfId="51" applyNumberFormat="1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/>
    </xf>
    <xf numFmtId="0" fontId="0" fillId="42" borderId="84" xfId="0" applyFill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84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5" fillId="42" borderId="84" xfId="0" applyFont="1" applyFill="1" applyBorder="1" applyAlignment="1">
      <alignment horizontal="center" vertical="center"/>
    </xf>
    <xf numFmtId="0" fontId="4" fillId="42" borderId="51" xfId="0" applyFont="1" applyFill="1" applyBorder="1" applyAlignment="1">
      <alignment horizontal="center" vertical="center"/>
    </xf>
    <xf numFmtId="0" fontId="4" fillId="42" borderId="52" xfId="0" applyFont="1" applyFill="1" applyBorder="1" applyAlignment="1">
      <alignment horizontal="center" vertical="center"/>
    </xf>
    <xf numFmtId="0" fontId="2" fillId="42" borderId="85" xfId="0" applyFont="1" applyFill="1" applyBorder="1" applyAlignment="1">
      <alignment horizontal="left" vertical="center" wrapText="1"/>
    </xf>
    <xf numFmtId="0" fontId="2" fillId="42" borderId="86" xfId="0" applyFont="1" applyFill="1" applyBorder="1" applyAlignment="1">
      <alignment horizontal="left" vertical="center" wrapText="1"/>
    </xf>
    <xf numFmtId="0" fontId="2" fillId="42" borderId="87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84" xfId="0" applyFont="1" applyFill="1" applyBorder="1" applyAlignment="1">
      <alignment horizontal="left" vertical="center" wrapText="1"/>
    </xf>
    <xf numFmtId="0" fontId="2" fillId="42" borderId="17" xfId="0" applyFont="1" applyFill="1" applyBorder="1" applyAlignment="1">
      <alignment horizontal="left" vertical="center"/>
    </xf>
    <xf numFmtId="0" fontId="2" fillId="42" borderId="84" xfId="0" applyFont="1" applyFill="1" applyBorder="1" applyAlignment="1">
      <alignment horizontal="left" vertical="center"/>
    </xf>
    <xf numFmtId="0" fontId="3" fillId="32" borderId="88" xfId="0" applyFont="1" applyFill="1" applyBorder="1" applyAlignment="1">
      <alignment horizontal="center" vertical="center" wrapText="1"/>
    </xf>
    <xf numFmtId="0" fontId="3" fillId="32" borderId="8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top"/>
    </xf>
    <xf numFmtId="0" fontId="5" fillId="36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/>
    </xf>
    <xf numFmtId="0" fontId="2" fillId="36" borderId="84" xfId="0" applyFont="1" applyFill="1" applyBorder="1" applyAlignment="1">
      <alignment horizontal="left" vertical="center"/>
    </xf>
    <xf numFmtId="0" fontId="2" fillId="36" borderId="75" xfId="0" applyFont="1" applyFill="1" applyBorder="1" applyAlignment="1">
      <alignment horizontal="left" vertical="center"/>
    </xf>
    <xf numFmtId="0" fontId="63" fillId="40" borderId="54" xfId="0" applyFont="1" applyFill="1" applyBorder="1" applyAlignment="1">
      <alignment horizontal="center" vertical="center" wrapText="1"/>
    </xf>
    <xf numFmtId="0" fontId="68" fillId="0" borderId="78" xfId="0" applyFont="1" applyBorder="1" applyAlignment="1">
      <alignment horizontal="center"/>
    </xf>
    <xf numFmtId="0" fontId="65" fillId="0" borderId="54" xfId="0" applyFont="1" applyBorder="1" applyAlignment="1">
      <alignment horizontal="left" vertical="center" wrapText="1"/>
    </xf>
    <xf numFmtId="0" fontId="66" fillId="41" borderId="31" xfId="0" applyFont="1" applyFill="1" applyBorder="1" applyAlignment="1">
      <alignment horizontal="center" vertical="center"/>
    </xf>
    <xf numFmtId="0" fontId="66" fillId="41" borderId="32" xfId="0" applyFont="1" applyFill="1" applyBorder="1" applyAlignment="1">
      <alignment horizontal="center" vertical="center"/>
    </xf>
    <xf numFmtId="0" fontId="66" fillId="41" borderId="77" xfId="0" applyFont="1" applyFill="1" applyBorder="1" applyAlignment="1">
      <alignment horizontal="center" vertical="center"/>
    </xf>
    <xf numFmtId="0" fontId="60" fillId="0" borderId="51" xfId="0" applyFont="1" applyBorder="1" applyAlignment="1">
      <alignment horizontal="center" vertical="top"/>
    </xf>
    <xf numFmtId="0" fontId="60" fillId="0" borderId="52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61" fillId="0" borderId="54" xfId="0" applyFont="1" applyBorder="1" applyAlignment="1">
      <alignment horizontal="left" vertical="center" wrapText="1"/>
    </xf>
    <xf numFmtId="0" fontId="61" fillId="0" borderId="54" xfId="0" applyFont="1" applyBorder="1" applyAlignment="1">
      <alignment horizontal="justify" vertical="center" wrapText="1"/>
    </xf>
    <xf numFmtId="0" fontId="61" fillId="0" borderId="54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77" xfId="0" applyFont="1" applyBorder="1" applyAlignment="1">
      <alignment horizontal="center" vertical="center" wrapText="1"/>
    </xf>
    <xf numFmtId="0" fontId="63" fillId="36" borderId="31" xfId="0" applyFont="1" applyFill="1" applyBorder="1" applyAlignment="1">
      <alignment horizontal="center" vertical="center" wrapText="1"/>
    </xf>
    <xf numFmtId="0" fontId="63" fillId="36" borderId="77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left" vertical="top" wrapText="1"/>
    </xf>
    <xf numFmtId="4" fontId="63" fillId="0" borderId="54" xfId="0" applyNumberFormat="1" applyFont="1" applyBorder="1" applyAlignment="1">
      <alignment horizontal="center" vertical="center" wrapText="1"/>
    </xf>
    <xf numFmtId="0" fontId="63" fillId="40" borderId="54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left" vertical="top" wrapText="1"/>
    </xf>
    <xf numFmtId="0" fontId="61" fillId="36" borderId="54" xfId="0" applyFont="1" applyFill="1" applyBorder="1" applyAlignment="1">
      <alignment horizontal="left" vertical="top" wrapText="1"/>
    </xf>
    <xf numFmtId="0" fontId="61" fillId="0" borderId="54" xfId="0" applyFont="1" applyBorder="1" applyAlignment="1">
      <alignment horizontal="left" vertical="top" wrapText="1"/>
    </xf>
    <xf numFmtId="0" fontId="62" fillId="0" borderId="31" xfId="0" applyFont="1" applyBorder="1" applyAlignment="1">
      <alignment horizontal="left" vertical="top" wrapText="1"/>
    </xf>
    <xf numFmtId="0" fontId="62" fillId="0" borderId="77" xfId="0" applyFont="1" applyBorder="1" applyAlignment="1">
      <alignment horizontal="left" vertical="top" wrapText="1"/>
    </xf>
    <xf numFmtId="0" fontId="58" fillId="32" borderId="31" xfId="0" applyFont="1" applyFill="1" applyBorder="1" applyAlignment="1">
      <alignment horizontal="center" vertical="top" wrapText="1"/>
    </xf>
    <xf numFmtId="0" fontId="58" fillId="32" borderId="77" xfId="0" applyFont="1" applyFill="1" applyBorder="1" applyAlignment="1">
      <alignment horizontal="center" vertical="top" wrapText="1"/>
    </xf>
    <xf numFmtId="0" fontId="58" fillId="32" borderId="31" xfId="0" applyFont="1" applyFill="1" applyBorder="1" applyAlignment="1">
      <alignment horizontal="left" vertical="top" wrapText="1"/>
    </xf>
    <xf numFmtId="0" fontId="58" fillId="32" borderId="77" xfId="0" applyFont="1" applyFill="1" applyBorder="1" applyAlignment="1">
      <alignment horizontal="left" vertical="top" wrapText="1"/>
    </xf>
    <xf numFmtId="0" fontId="5" fillId="36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77" xfId="0" applyFont="1" applyFill="1" applyBorder="1" applyAlignment="1">
      <alignment horizontal="center" vertical="center"/>
    </xf>
    <xf numFmtId="0" fontId="61" fillId="32" borderId="31" xfId="0" applyFont="1" applyFill="1" applyBorder="1" applyAlignment="1">
      <alignment horizontal="center" vertical="top" wrapText="1"/>
    </xf>
    <xf numFmtId="0" fontId="61" fillId="32" borderId="77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/>
    </xf>
    <xf numFmtId="0" fontId="2" fillId="36" borderId="86" xfId="0" applyFont="1" applyFill="1" applyBorder="1" applyAlignment="1">
      <alignment horizontal="left" vertical="center" wrapText="1"/>
    </xf>
    <xf numFmtId="0" fontId="61" fillId="32" borderId="51" xfId="0" applyFont="1" applyFill="1" applyBorder="1" applyAlignment="1">
      <alignment horizontal="center" vertical="top" wrapText="1"/>
    </xf>
    <xf numFmtId="0" fontId="61" fillId="32" borderId="14" xfId="0" applyFont="1" applyFill="1" applyBorder="1" applyAlignment="1">
      <alignment horizontal="center" vertical="top" wrapText="1"/>
    </xf>
    <xf numFmtId="0" fontId="2" fillId="35" borderId="90" xfId="0" applyFont="1" applyFill="1" applyBorder="1" applyAlignment="1">
      <alignment horizontal="center" vertical="center" wrapText="1"/>
    </xf>
    <xf numFmtId="0" fontId="2" fillId="35" borderId="9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top"/>
    </xf>
    <xf numFmtId="0" fontId="66" fillId="43" borderId="48" xfId="0" applyFont="1" applyFill="1" applyBorder="1" applyAlignment="1">
      <alignment horizontal="center" vertical="center"/>
    </xf>
    <xf numFmtId="0" fontId="66" fillId="43" borderId="49" xfId="0" applyFont="1" applyFill="1" applyBorder="1" applyAlignment="1">
      <alignment horizontal="center" vertical="center"/>
    </xf>
    <xf numFmtId="0" fontId="66" fillId="43" borderId="5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7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0" fontId="2" fillId="0" borderId="77" xfId="0" applyFont="1" applyBorder="1" applyAlignment="1">
      <alignment horizontal="justify" vertical="top" wrapText="1"/>
    </xf>
    <xf numFmtId="0" fontId="2" fillId="33" borderId="9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/>
    </xf>
    <xf numFmtId="0" fontId="69" fillId="0" borderId="0" xfId="0" applyFont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96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43" xfId="0" applyBorder="1" applyAlignment="1">
      <alignment horizontal="center"/>
    </xf>
    <xf numFmtId="10" fontId="0" fillId="38" borderId="11" xfId="0" applyNumberFormat="1" applyFill="1" applyBorder="1" applyAlignment="1">
      <alignment horizontal="center"/>
    </xf>
    <xf numFmtId="4" fontId="0" fillId="38" borderId="82" xfId="0" applyNumberFormat="1" applyFill="1" applyBorder="1" applyAlignment="1">
      <alignment horizontal="center"/>
    </xf>
    <xf numFmtId="0" fontId="0" fillId="0" borderId="46" xfId="0" applyBorder="1" applyAlignment="1">
      <alignment horizontal="righ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righ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0" fontId="0" fillId="38" borderId="21" xfId="0" applyNumberFormat="1" applyFill="1" applyBorder="1" applyAlignment="1">
      <alignment horizontal="center"/>
    </xf>
    <xf numFmtId="4" fontId="0" fillId="38" borderId="98" xfId="0" applyNumberFormat="1" applyFill="1" applyBorder="1" applyAlignment="1">
      <alignment horizontal="center"/>
    </xf>
    <xf numFmtId="10" fontId="0" fillId="38" borderId="90" xfId="0" applyNumberFormat="1" applyFill="1" applyBorder="1" applyAlignment="1">
      <alignment horizontal="center"/>
    </xf>
    <xf numFmtId="4" fontId="0" fillId="38" borderId="91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7.png" /><Relationship Id="rId4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8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0</xdr:row>
      <xdr:rowOff>95250</xdr:rowOff>
    </xdr:from>
    <xdr:to>
      <xdr:col>5</xdr:col>
      <xdr:colOff>1190625</xdr:colOff>
      <xdr:row>4</xdr:row>
      <xdr:rowOff>161925</xdr:rowOff>
    </xdr:to>
    <xdr:pic>
      <xdr:nvPicPr>
        <xdr:cNvPr id="1" name="Imagem 3" descr="logo 2017 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5250"/>
          <a:ext cx="131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1</xdr:col>
      <xdr:colOff>981075</xdr:colOff>
      <xdr:row>5</xdr:row>
      <xdr:rowOff>76200</xdr:rowOff>
    </xdr:to>
    <xdr:pic>
      <xdr:nvPicPr>
        <xdr:cNvPr id="2" name="Picture 284"/>
        <xdr:cNvPicPr preferRelativeResize="1">
          <a:picLocks noChangeAspect="1"/>
        </xdr:cNvPicPr>
      </xdr:nvPicPr>
      <xdr:blipFill>
        <a:blip r:embed="rId2"/>
        <a:srcRect b="14472"/>
        <a:stretch>
          <a:fillRect/>
        </a:stretch>
      </xdr:blipFill>
      <xdr:spPr>
        <a:xfrm>
          <a:off x="247650" y="152400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95250</xdr:rowOff>
    </xdr:from>
    <xdr:to>
      <xdr:col>14</xdr:col>
      <xdr:colOff>76200</xdr:colOff>
      <xdr:row>6</xdr:row>
      <xdr:rowOff>19050</xdr:rowOff>
    </xdr:to>
    <xdr:pic>
      <xdr:nvPicPr>
        <xdr:cNvPr id="1" name="Imagem 5" descr="logo OFICIAL 2013 2016 Ouvir e cuidar para crescermos ju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95250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857250</xdr:colOff>
      <xdr:row>0</xdr:row>
      <xdr:rowOff>19050</xdr:rowOff>
    </xdr:from>
    <xdr:to>
      <xdr:col>10</xdr:col>
      <xdr:colOff>180975</xdr:colOff>
      <xdr:row>4</xdr:row>
      <xdr:rowOff>85725</xdr:rowOff>
    </xdr:to>
    <xdr:pic>
      <xdr:nvPicPr>
        <xdr:cNvPr id="2" name="Imagem 3" descr="logo 2017 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19050"/>
          <a:ext cx="131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66675</xdr:rowOff>
    </xdr:from>
    <xdr:to>
      <xdr:col>1</xdr:col>
      <xdr:colOff>923925</xdr:colOff>
      <xdr:row>4</xdr:row>
      <xdr:rowOff>180975</xdr:rowOff>
    </xdr:to>
    <xdr:pic>
      <xdr:nvPicPr>
        <xdr:cNvPr id="3" name="Picture 287"/>
        <xdr:cNvPicPr preferRelativeResize="1">
          <a:picLocks noChangeAspect="1"/>
        </xdr:cNvPicPr>
      </xdr:nvPicPr>
      <xdr:blipFill>
        <a:blip r:embed="rId3"/>
        <a:srcRect b="14472"/>
        <a:stretch>
          <a:fillRect/>
        </a:stretch>
      </xdr:blipFill>
      <xdr:spPr>
        <a:xfrm>
          <a:off x="190500" y="666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19050</xdr:rowOff>
    </xdr:from>
    <xdr:to>
      <xdr:col>16</xdr:col>
      <xdr:colOff>857250</xdr:colOff>
      <xdr:row>1</xdr:row>
      <xdr:rowOff>323850</xdr:rowOff>
    </xdr:to>
    <xdr:pic>
      <xdr:nvPicPr>
        <xdr:cNvPr id="1" name="Imagem 5" descr="logo OFICIAL 2013 2016 Ouvir e cuidar para crescermos ju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0" y="19050"/>
          <a:ext cx="1647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171450</xdr:rowOff>
    </xdr:from>
    <xdr:to>
      <xdr:col>9</xdr:col>
      <xdr:colOff>704850</xdr:colOff>
      <xdr:row>1</xdr:row>
      <xdr:rowOff>152400</xdr:rowOff>
    </xdr:to>
    <xdr:pic>
      <xdr:nvPicPr>
        <xdr:cNvPr id="2" name="Imagem 3" descr="logo 2017 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1450"/>
          <a:ext cx="131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0</xdr:row>
      <xdr:rowOff>161925</xdr:rowOff>
    </xdr:from>
    <xdr:to>
      <xdr:col>5</xdr:col>
      <xdr:colOff>590550</xdr:colOff>
      <xdr:row>1</xdr:row>
      <xdr:rowOff>152400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24125" y="161925"/>
          <a:ext cx="4505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Coordenação Técnica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133350</xdr:rowOff>
    </xdr:from>
    <xdr:to>
      <xdr:col>2</xdr:col>
      <xdr:colOff>771525</xdr:colOff>
      <xdr:row>1</xdr:row>
      <xdr:rowOff>161925</xdr:rowOff>
    </xdr:to>
    <xdr:pic>
      <xdr:nvPicPr>
        <xdr:cNvPr id="4" name="Picture 313"/>
        <xdr:cNvPicPr preferRelativeResize="1">
          <a:picLocks noChangeAspect="1"/>
        </xdr:cNvPicPr>
      </xdr:nvPicPr>
      <xdr:blipFill>
        <a:blip r:embed="rId3"/>
        <a:srcRect b="14472"/>
        <a:stretch>
          <a:fillRect/>
        </a:stretch>
      </xdr:blipFill>
      <xdr:spPr>
        <a:xfrm>
          <a:off x="342900" y="133350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0</xdr:row>
      <xdr:rowOff>142875</xdr:rowOff>
    </xdr:from>
    <xdr:to>
      <xdr:col>18</xdr:col>
      <xdr:colOff>533400</xdr:colOff>
      <xdr:row>6</xdr:row>
      <xdr:rowOff>66675</xdr:rowOff>
    </xdr:to>
    <xdr:pic>
      <xdr:nvPicPr>
        <xdr:cNvPr id="1" name="Imagem 5" descr="logo OFICIAL 2013 2016 Ouvir e cuidar para crescermos ju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87575" y="142875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323850</xdr:colOff>
      <xdr:row>5</xdr:row>
      <xdr:rowOff>38100</xdr:rowOff>
    </xdr:to>
    <xdr:pic>
      <xdr:nvPicPr>
        <xdr:cNvPr id="2" name="Imagem 3" descr="logo 2017 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190500"/>
          <a:ext cx="131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0</xdr:row>
      <xdr:rowOff>180975</xdr:rowOff>
    </xdr:from>
    <xdr:to>
      <xdr:col>1</xdr:col>
      <xdr:colOff>1295400</xdr:colOff>
      <xdr:row>5</xdr:row>
      <xdr:rowOff>76200</xdr:rowOff>
    </xdr:to>
    <xdr:pic>
      <xdr:nvPicPr>
        <xdr:cNvPr id="3" name="Picture 287"/>
        <xdr:cNvPicPr preferRelativeResize="1">
          <a:picLocks noChangeAspect="1"/>
        </xdr:cNvPicPr>
      </xdr:nvPicPr>
      <xdr:blipFill>
        <a:blip r:embed="rId3"/>
        <a:srcRect b="14472"/>
        <a:stretch>
          <a:fillRect/>
        </a:stretch>
      </xdr:blipFill>
      <xdr:spPr>
        <a:xfrm>
          <a:off x="571500" y="1809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14</xdr:col>
      <xdr:colOff>95250</xdr:colOff>
      <xdr:row>6</xdr:row>
      <xdr:rowOff>152400</xdr:rowOff>
    </xdr:to>
    <xdr:pic>
      <xdr:nvPicPr>
        <xdr:cNvPr id="1" name="Imagem 5" descr="logo OFICIAL 2013 2016 Ouvir e cuidar para crescermos ju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0"/>
          <a:ext cx="2914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85725</xdr:rowOff>
    </xdr:from>
    <xdr:to>
      <xdr:col>7</xdr:col>
      <xdr:colOff>161925</xdr:colOff>
      <xdr:row>4</xdr:row>
      <xdr:rowOff>114300</xdr:rowOff>
    </xdr:to>
    <xdr:pic>
      <xdr:nvPicPr>
        <xdr:cNvPr id="2" name="Imagem 3" descr="logo 2017 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85725"/>
          <a:ext cx="131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1914525</xdr:colOff>
      <xdr:row>0</xdr:row>
      <xdr:rowOff>123825</xdr:rowOff>
    </xdr:from>
    <xdr:to>
      <xdr:col>4</xdr:col>
      <xdr:colOff>533400</xdr:colOff>
      <xdr:row>4</xdr:row>
      <xdr:rowOff>9525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123825"/>
          <a:ext cx="3619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114300</xdr:rowOff>
    </xdr:from>
    <xdr:to>
      <xdr:col>1</xdr:col>
      <xdr:colOff>1028700</xdr:colOff>
      <xdr:row>4</xdr:row>
      <xdr:rowOff>190500</xdr:rowOff>
    </xdr:to>
    <xdr:pic>
      <xdr:nvPicPr>
        <xdr:cNvPr id="4" name="Picture 299"/>
        <xdr:cNvPicPr preferRelativeResize="1">
          <a:picLocks noChangeAspect="1"/>
        </xdr:cNvPicPr>
      </xdr:nvPicPr>
      <xdr:blipFill>
        <a:blip r:embed="rId4"/>
        <a:srcRect b="14472"/>
        <a:stretch>
          <a:fillRect/>
        </a:stretch>
      </xdr:blipFill>
      <xdr:spPr>
        <a:xfrm>
          <a:off x="295275" y="114300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85725</xdr:rowOff>
    </xdr:from>
    <xdr:to>
      <xdr:col>6</xdr:col>
      <xdr:colOff>180975</xdr:colOff>
      <xdr:row>1</xdr:row>
      <xdr:rowOff>857250</xdr:rowOff>
    </xdr:to>
    <xdr:pic>
      <xdr:nvPicPr>
        <xdr:cNvPr id="1" name="Imagem 3" descr="logo 2017 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5725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104775</xdr:rowOff>
    </xdr:from>
    <xdr:to>
      <xdr:col>3</xdr:col>
      <xdr:colOff>428625</xdr:colOff>
      <xdr:row>1</xdr:row>
      <xdr:rowOff>419100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04775"/>
          <a:ext cx="2266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0</xdr:col>
      <xdr:colOff>1343025</xdr:colOff>
      <xdr:row>2</xdr:row>
      <xdr:rowOff>123825</xdr:rowOff>
    </xdr:to>
    <xdr:pic>
      <xdr:nvPicPr>
        <xdr:cNvPr id="3" name="Picture 294"/>
        <xdr:cNvPicPr preferRelativeResize="1">
          <a:picLocks noChangeAspect="1"/>
        </xdr:cNvPicPr>
      </xdr:nvPicPr>
      <xdr:blipFill>
        <a:blip r:embed="rId3"/>
        <a:srcRect b="14472"/>
        <a:stretch>
          <a:fillRect/>
        </a:stretch>
      </xdr:blipFill>
      <xdr:spPr>
        <a:xfrm>
          <a:off x="0" y="2571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\Documentos%20em%20Rede\PAVIMENTA&#199;&#195;O%202014\Pavimento&#231;ao%20250.000,00%20CT-%20031579-2014\Doc%20Caixa\Pavimenta&#231;&#227;o%20250.000,00%20CT%20031579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ÇÃO DE RUAS"/>
      <sheetName val="MEMÓRIA DE CÁLCULO"/>
      <sheetName val="ORÇAMENTO"/>
      <sheetName val="CRONOG"/>
      <sheetName val="Plan1"/>
    </sheetNames>
    <sheetDataSet>
      <sheetData sheetId="0">
        <row r="5">
          <cell r="B5" t="str">
            <v>Município: Pains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90" zoomScaleNormal="90" zoomScaleSheetLayoutView="90" workbookViewId="0" topLeftCell="A13">
      <selection activeCell="F25" sqref="F25"/>
    </sheetView>
  </sheetViews>
  <sheetFormatPr defaultColWidth="9.140625" defaultRowHeight="15"/>
  <cols>
    <col min="2" max="2" width="31.57421875" style="0" customWidth="1"/>
    <col min="3" max="3" width="22.8515625" style="0" customWidth="1"/>
    <col min="4" max="4" width="13.7109375" style="0" customWidth="1"/>
    <col min="5" max="5" width="21.7109375" style="195" customWidth="1"/>
    <col min="6" max="6" width="20.28125" style="0" customWidth="1"/>
    <col min="7" max="7" width="19.8515625" style="0" customWidth="1"/>
    <col min="8" max="9" width="9.140625" style="0" customWidth="1"/>
    <col min="10" max="10" width="7.8515625" style="0" customWidth="1"/>
    <col min="11" max="11" width="15.421875" style="0" customWidth="1"/>
    <col min="12" max="12" width="15.8515625" style="0" customWidth="1"/>
    <col min="13" max="13" width="17.00390625" style="0" customWidth="1"/>
  </cols>
  <sheetData>
    <row r="1" spans="1:7" ht="15">
      <c r="A1" s="82"/>
      <c r="B1" s="83"/>
      <c r="C1" s="83"/>
      <c r="D1" s="83"/>
      <c r="E1" s="191"/>
      <c r="F1" s="83"/>
      <c r="G1" s="84"/>
    </row>
    <row r="2" spans="1:9" ht="20.25" customHeight="1">
      <c r="A2" s="85"/>
      <c r="B2" s="306"/>
      <c r="C2" s="317" t="s">
        <v>150</v>
      </c>
      <c r="D2" s="317"/>
      <c r="E2" s="317"/>
      <c r="F2" s="90"/>
      <c r="G2" s="92"/>
      <c r="H2" s="90"/>
      <c r="I2" s="90"/>
    </row>
    <row r="3" spans="1:9" ht="18" customHeight="1">
      <c r="A3" s="85"/>
      <c r="B3" s="306"/>
      <c r="C3" s="317"/>
      <c r="D3" s="317"/>
      <c r="E3" s="317"/>
      <c r="F3" s="91"/>
      <c r="G3" s="93"/>
      <c r="H3" s="91"/>
      <c r="I3" s="91"/>
    </row>
    <row r="4" spans="1:7" ht="15" customHeight="1">
      <c r="A4" s="85"/>
      <c r="B4" s="306"/>
      <c r="C4" s="317"/>
      <c r="D4" s="317"/>
      <c r="E4" s="317"/>
      <c r="F4" s="1"/>
      <c r="G4" s="86"/>
    </row>
    <row r="5" spans="1:7" ht="15" customHeight="1">
      <c r="A5" s="85"/>
      <c r="B5" s="306"/>
      <c r="C5" s="317"/>
      <c r="D5" s="317"/>
      <c r="E5" s="317"/>
      <c r="F5" s="1"/>
      <c r="G5" s="86"/>
    </row>
    <row r="6" spans="1:7" ht="15" customHeight="1" thickBot="1">
      <c r="A6" s="329"/>
      <c r="B6" s="330"/>
      <c r="C6" s="330"/>
      <c r="D6" s="330"/>
      <c r="E6" s="330"/>
      <c r="F6" s="330"/>
      <c r="G6" s="293"/>
    </row>
    <row r="7" spans="1:11" ht="15" customHeight="1">
      <c r="A7" s="331"/>
      <c r="B7" s="332"/>
      <c r="C7" s="332"/>
      <c r="D7" s="332"/>
      <c r="E7" s="332"/>
      <c r="F7" s="333"/>
      <c r="G7" s="294"/>
      <c r="H7" s="1"/>
      <c r="I7" s="1"/>
      <c r="J7" s="1"/>
      <c r="K7" s="1"/>
    </row>
    <row r="8" spans="1:11" ht="15" customHeight="1">
      <c r="A8" s="334" t="s">
        <v>151</v>
      </c>
      <c r="B8" s="335"/>
      <c r="C8" s="335"/>
      <c r="D8" s="335"/>
      <c r="E8" s="335"/>
      <c r="F8" s="335"/>
      <c r="G8" s="308"/>
      <c r="H8" s="307"/>
      <c r="I8" s="307"/>
      <c r="J8" s="307"/>
      <c r="K8" s="1"/>
    </row>
    <row r="9" spans="1:11" ht="15">
      <c r="A9" s="336" t="s">
        <v>153</v>
      </c>
      <c r="B9" s="337"/>
      <c r="C9" s="337"/>
      <c r="D9" s="337"/>
      <c r="E9" s="337"/>
      <c r="F9" s="337"/>
      <c r="G9" s="295"/>
      <c r="H9" s="1"/>
      <c r="I9" s="1"/>
      <c r="J9" s="1"/>
      <c r="K9" s="1"/>
    </row>
    <row r="10" spans="1:7" ht="15">
      <c r="A10" s="325"/>
      <c r="B10" s="326"/>
      <c r="C10" s="326"/>
      <c r="D10" s="326"/>
      <c r="E10" s="326"/>
      <c r="F10" s="326"/>
      <c r="G10" s="296"/>
    </row>
    <row r="11" spans="1:7" ht="18">
      <c r="A11" s="327" t="s">
        <v>140</v>
      </c>
      <c r="B11" s="328"/>
      <c r="C11" s="328"/>
      <c r="D11" s="328"/>
      <c r="E11" s="328"/>
      <c r="F11" s="328"/>
      <c r="G11" s="292"/>
    </row>
    <row r="12" spans="1:7" ht="15">
      <c r="A12" s="323"/>
      <c r="B12" s="324"/>
      <c r="C12" s="324"/>
      <c r="D12" s="324"/>
      <c r="E12" s="324"/>
      <c r="F12" s="324"/>
      <c r="G12" s="297"/>
    </row>
    <row r="13" spans="1:7" ht="25.5">
      <c r="A13" s="22" t="s">
        <v>2</v>
      </c>
      <c r="B13" s="23" t="s">
        <v>48</v>
      </c>
      <c r="C13" s="24"/>
      <c r="D13" s="23"/>
      <c r="E13" s="23"/>
      <c r="F13" s="196" t="s">
        <v>95</v>
      </c>
      <c r="G13" s="196" t="s">
        <v>138</v>
      </c>
    </row>
    <row r="14" spans="1:20" ht="15">
      <c r="A14" s="338"/>
      <c r="B14" s="339"/>
      <c r="C14" s="318"/>
      <c r="D14" s="319"/>
      <c r="E14" s="319"/>
      <c r="F14" s="320"/>
      <c r="G14" s="298"/>
      <c r="H14" s="1"/>
      <c r="I14" s="213"/>
      <c r="J14" s="213"/>
      <c r="K14" s="213"/>
      <c r="L14" s="213"/>
      <c r="M14" s="1"/>
      <c r="N14" s="213"/>
      <c r="O14" s="192"/>
      <c r="P14" s="192"/>
      <c r="Q14" s="1"/>
      <c r="R14" s="213"/>
      <c r="S14" s="1"/>
      <c r="T14" s="1"/>
    </row>
    <row r="15" spans="1:20" ht="15">
      <c r="A15" s="29" t="s">
        <v>141</v>
      </c>
      <c r="B15" s="147" t="s">
        <v>130</v>
      </c>
      <c r="C15" s="201" t="s">
        <v>96</v>
      </c>
      <c r="D15" s="201" t="s">
        <v>97</v>
      </c>
      <c r="E15" s="201" t="s">
        <v>98</v>
      </c>
      <c r="F15" s="203" t="s">
        <v>99</v>
      </c>
      <c r="G15" s="203" t="s">
        <v>99</v>
      </c>
      <c r="J15" s="1"/>
      <c r="K15" s="1"/>
      <c r="L15" s="1"/>
      <c r="M15" s="1"/>
      <c r="N15" s="213"/>
      <c r="O15" s="316"/>
      <c r="P15" s="316"/>
      <c r="Q15" s="1"/>
      <c r="R15" s="213"/>
      <c r="S15" s="1"/>
      <c r="T15" s="1"/>
    </row>
    <row r="16" spans="1:20" ht="15">
      <c r="A16" s="33"/>
      <c r="B16" s="30" t="s">
        <v>100</v>
      </c>
      <c r="C16" s="80">
        <v>11.3</v>
      </c>
      <c r="D16" s="80">
        <v>8.25</v>
      </c>
      <c r="E16" s="80">
        <v>1.35</v>
      </c>
      <c r="F16" s="202" t="s">
        <v>135</v>
      </c>
      <c r="G16" s="202">
        <f>((8.25+11.3)*1.35)/2</f>
        <v>13.196250000000001</v>
      </c>
      <c r="J16" s="1"/>
      <c r="K16" s="1"/>
      <c r="L16" s="1"/>
      <c r="M16" s="1"/>
      <c r="N16" s="213"/>
      <c r="O16" s="316"/>
      <c r="P16" s="316"/>
      <c r="Q16" s="1"/>
      <c r="R16" s="213"/>
      <c r="S16" s="1"/>
      <c r="T16" s="1"/>
    </row>
    <row r="17" spans="1:20" ht="15">
      <c r="A17" s="33"/>
      <c r="B17" s="30" t="s">
        <v>101</v>
      </c>
      <c r="C17" s="80">
        <v>8.25</v>
      </c>
      <c r="D17" s="80">
        <v>7.4</v>
      </c>
      <c r="E17" s="80">
        <v>131</v>
      </c>
      <c r="F17" s="202" t="s">
        <v>134</v>
      </c>
      <c r="G17" s="202">
        <f>((8.25+7.4)*131)/2</f>
        <v>1025.075</v>
      </c>
      <c r="J17" s="1"/>
      <c r="K17" s="1"/>
      <c r="L17" s="1"/>
      <c r="M17" s="1"/>
      <c r="N17" s="213"/>
      <c r="O17" s="192"/>
      <c r="P17" s="192"/>
      <c r="Q17" s="1"/>
      <c r="R17" s="213"/>
      <c r="S17" s="1"/>
      <c r="T17" s="1"/>
    </row>
    <row r="18" spans="1:20" ht="15">
      <c r="A18" s="33"/>
      <c r="B18" s="30" t="s">
        <v>102</v>
      </c>
      <c r="C18" s="80">
        <v>7.4</v>
      </c>
      <c r="D18" s="80">
        <v>10.8</v>
      </c>
      <c r="E18" s="80">
        <v>1.3</v>
      </c>
      <c r="F18" s="202" t="s">
        <v>133</v>
      </c>
      <c r="G18" s="202">
        <f>((7.4+10.8)*1.3)/2</f>
        <v>11.830000000000002</v>
      </c>
      <c r="J18" s="1"/>
      <c r="K18" s="1"/>
      <c r="L18" s="1"/>
      <c r="M18" s="1"/>
      <c r="N18" s="213"/>
      <c r="O18" s="316"/>
      <c r="P18" s="316"/>
      <c r="Q18" s="1"/>
      <c r="R18" s="213"/>
      <c r="S18" s="1"/>
      <c r="T18" s="1"/>
    </row>
    <row r="19" spans="1:20" ht="15">
      <c r="A19" s="33"/>
      <c r="B19" s="30" t="s">
        <v>103</v>
      </c>
      <c r="C19" s="80">
        <v>7.35</v>
      </c>
      <c r="D19" s="80">
        <v>7.25</v>
      </c>
      <c r="E19" s="80">
        <v>10.9</v>
      </c>
      <c r="F19" s="202" t="s">
        <v>170</v>
      </c>
      <c r="G19" s="202">
        <f>((7.35+7.25)*10.9)/2</f>
        <v>79.57000000000001</v>
      </c>
      <c r="H19" s="315"/>
      <c r="J19" s="1"/>
      <c r="K19" s="1"/>
      <c r="L19" s="1"/>
      <c r="M19" s="1"/>
      <c r="N19" s="213"/>
      <c r="O19" s="316"/>
      <c r="P19" s="316"/>
      <c r="Q19" s="1"/>
      <c r="R19" s="213"/>
      <c r="S19" s="1"/>
      <c r="T19" s="1"/>
    </row>
    <row r="20" spans="1:20" ht="15">
      <c r="A20" s="33"/>
      <c r="B20" s="30" t="s">
        <v>104</v>
      </c>
      <c r="C20" s="80">
        <v>11</v>
      </c>
      <c r="D20" s="80">
        <v>7.6</v>
      </c>
      <c r="E20" s="80">
        <v>1.3</v>
      </c>
      <c r="F20" s="202" t="s">
        <v>137</v>
      </c>
      <c r="G20" s="202">
        <f>((11+7.6)*1.3)/2</f>
        <v>12.090000000000002</v>
      </c>
      <c r="J20" s="1"/>
      <c r="K20" s="1"/>
      <c r="L20" s="1"/>
      <c r="M20" s="192"/>
      <c r="N20" s="192"/>
      <c r="O20" s="192"/>
      <c r="P20" s="192"/>
      <c r="Q20" s="192"/>
      <c r="R20" s="192"/>
      <c r="S20" s="1"/>
      <c r="T20" s="1"/>
    </row>
    <row r="21" spans="1:20" ht="15">
      <c r="A21" s="33"/>
      <c r="B21" s="30" t="s">
        <v>105</v>
      </c>
      <c r="C21" s="80">
        <v>7.6</v>
      </c>
      <c r="D21" s="80">
        <v>7.2</v>
      </c>
      <c r="E21" s="80">
        <v>50</v>
      </c>
      <c r="F21" s="202" t="s">
        <v>131</v>
      </c>
      <c r="G21" s="202">
        <f>((7.6+7.2)*50)/2</f>
        <v>370</v>
      </c>
      <c r="J21" s="1"/>
      <c r="K21" s="1"/>
      <c r="L21" s="1"/>
      <c r="M21" s="192"/>
      <c r="N21" s="192"/>
      <c r="O21" s="192"/>
      <c r="P21" s="192"/>
      <c r="Q21" s="192"/>
      <c r="R21" s="192"/>
      <c r="S21" s="1"/>
      <c r="T21" s="1"/>
    </row>
    <row r="22" spans="1:20" ht="15">
      <c r="A22" s="33"/>
      <c r="B22" s="30" t="s">
        <v>106</v>
      </c>
      <c r="C22" s="80">
        <v>7.2</v>
      </c>
      <c r="D22" s="80">
        <v>7.9</v>
      </c>
      <c r="E22" s="80">
        <v>72</v>
      </c>
      <c r="F22" s="202" t="s">
        <v>132</v>
      </c>
      <c r="G22" s="202">
        <f>((7.2+7.9)*72)/2</f>
        <v>543.6</v>
      </c>
      <c r="J22" s="1"/>
      <c r="K22" s="1"/>
      <c r="L22" s="1"/>
      <c r="M22" s="192"/>
      <c r="N22" s="192"/>
      <c r="O22" s="192"/>
      <c r="P22" s="192"/>
      <c r="Q22" s="192"/>
      <c r="R22" s="192"/>
      <c r="S22" s="1"/>
      <c r="T22" s="1"/>
    </row>
    <row r="23" spans="1:20" ht="15">
      <c r="A23" s="33"/>
      <c r="B23" s="30" t="s">
        <v>107</v>
      </c>
      <c r="C23" s="80">
        <v>7.9</v>
      </c>
      <c r="D23" s="80">
        <v>11.7</v>
      </c>
      <c r="E23" s="80">
        <v>1.3</v>
      </c>
      <c r="F23" s="202" t="s">
        <v>136</v>
      </c>
      <c r="G23" s="202">
        <f>((7.9+11.7)*1.3)/2</f>
        <v>12.740000000000002</v>
      </c>
      <c r="J23" s="1"/>
      <c r="K23" s="1"/>
      <c r="L23" s="1"/>
      <c r="M23" s="192"/>
      <c r="N23" s="192"/>
      <c r="O23" s="192"/>
      <c r="P23" s="192"/>
      <c r="Q23" s="192"/>
      <c r="R23" s="192"/>
      <c r="S23" s="1"/>
      <c r="T23" s="1"/>
    </row>
    <row r="24" spans="1:20" ht="15">
      <c r="A24" s="33" t="s">
        <v>148</v>
      </c>
      <c r="B24" s="30" t="s">
        <v>149</v>
      </c>
      <c r="C24" s="80"/>
      <c r="D24" s="80"/>
      <c r="E24" s="80"/>
      <c r="F24" s="202"/>
      <c r="G24" s="202"/>
      <c r="J24" s="1"/>
      <c r="K24" s="1"/>
      <c r="L24" s="1"/>
      <c r="M24" s="192"/>
      <c r="N24" s="192"/>
      <c r="O24" s="192"/>
      <c r="P24" s="192"/>
      <c r="Q24" s="192"/>
      <c r="R24" s="192"/>
      <c r="S24" s="1"/>
      <c r="T24" s="1"/>
    </row>
    <row r="25" spans="1:20" ht="15">
      <c r="A25" s="33"/>
      <c r="B25" s="30" t="s">
        <v>100</v>
      </c>
      <c r="C25" s="80">
        <v>7.3</v>
      </c>
      <c r="D25" s="80"/>
      <c r="E25" s="80">
        <v>3</v>
      </c>
      <c r="F25" s="202" t="s">
        <v>164</v>
      </c>
      <c r="G25" s="202">
        <f>7.3*2</f>
        <v>14.6</v>
      </c>
      <c r="J25" s="1"/>
      <c r="K25" s="1"/>
      <c r="L25" s="1"/>
      <c r="M25" s="192"/>
      <c r="N25" s="192"/>
      <c r="O25" s="192"/>
      <c r="P25" s="192"/>
      <c r="Q25" s="192"/>
      <c r="R25" s="192"/>
      <c r="S25" s="1"/>
      <c r="T25" s="1"/>
    </row>
    <row r="26" spans="1:20" ht="15">
      <c r="A26" s="33"/>
      <c r="B26" s="30" t="s">
        <v>101</v>
      </c>
      <c r="C26" s="80">
        <v>7.2</v>
      </c>
      <c r="D26" s="80"/>
      <c r="E26" s="80">
        <v>3</v>
      </c>
      <c r="F26" s="202" t="s">
        <v>165</v>
      </c>
      <c r="G26" s="202">
        <f>7.2*2</f>
        <v>14.4</v>
      </c>
      <c r="J26" s="1"/>
      <c r="K26" s="1"/>
      <c r="L26" s="1"/>
      <c r="M26" s="192"/>
      <c r="N26" s="192"/>
      <c r="O26" s="192"/>
      <c r="P26" s="192"/>
      <c r="Q26" s="192"/>
      <c r="R26" s="192"/>
      <c r="S26" s="1"/>
      <c r="T26" s="1"/>
    </row>
    <row r="27" spans="1:20" ht="15">
      <c r="A27" s="33"/>
      <c r="B27" s="30"/>
      <c r="C27" s="80"/>
      <c r="D27" s="80"/>
      <c r="E27" s="80"/>
      <c r="F27" s="202"/>
      <c r="G27" s="202"/>
      <c r="J27" s="1"/>
      <c r="K27" s="1"/>
      <c r="L27" s="1"/>
      <c r="M27" s="192"/>
      <c r="N27" s="192"/>
      <c r="O27" s="192"/>
      <c r="P27" s="192"/>
      <c r="Q27" s="192"/>
      <c r="R27" s="192"/>
      <c r="S27" s="1"/>
      <c r="T27" s="1"/>
    </row>
    <row r="28" spans="1:20" ht="15">
      <c r="A28" s="33"/>
      <c r="B28" s="30"/>
      <c r="C28" s="80"/>
      <c r="D28" s="80"/>
      <c r="E28" s="80"/>
      <c r="F28" s="202"/>
      <c r="G28" s="202"/>
      <c r="J28" s="1"/>
      <c r="K28" s="1"/>
      <c r="L28" s="1"/>
      <c r="M28" s="192"/>
      <c r="N28" s="192"/>
      <c r="O28" s="192"/>
      <c r="P28" s="192"/>
      <c r="Q28" s="192"/>
      <c r="R28" s="192"/>
      <c r="S28" s="1"/>
      <c r="T28" s="1"/>
    </row>
    <row r="29" spans="1:20" ht="15">
      <c r="A29" s="33"/>
      <c r="B29" s="30"/>
      <c r="C29" s="80"/>
      <c r="D29" s="80"/>
      <c r="E29" s="80"/>
      <c r="F29" s="202"/>
      <c r="G29" s="202"/>
      <c r="J29" s="1"/>
      <c r="K29" s="1"/>
      <c r="L29" s="1"/>
      <c r="M29" s="192"/>
      <c r="N29" s="192"/>
      <c r="O29" s="192"/>
      <c r="P29" s="192"/>
      <c r="Q29" s="192"/>
      <c r="R29" s="192"/>
      <c r="S29" s="1"/>
      <c r="T29" s="1"/>
    </row>
    <row r="30" spans="1:20" ht="15.75" thickBot="1">
      <c r="A30" s="38"/>
      <c r="B30" s="39"/>
      <c r="C30" s="81"/>
      <c r="D30" s="41"/>
      <c r="E30" s="193"/>
      <c r="F30" s="197"/>
      <c r="G30" s="197"/>
      <c r="J30" s="1"/>
      <c r="K30" s="1"/>
      <c r="L30" s="1"/>
      <c r="M30" s="1"/>
      <c r="N30" s="213"/>
      <c r="O30" s="316"/>
      <c r="P30" s="316"/>
      <c r="Q30" s="1"/>
      <c r="R30" s="213"/>
      <c r="S30" s="1"/>
      <c r="T30" s="1"/>
    </row>
    <row r="31" spans="1:20" ht="15.75" customHeight="1" thickBot="1">
      <c r="A31" s="321" t="s">
        <v>54</v>
      </c>
      <c r="B31" s="322"/>
      <c r="C31" s="199"/>
      <c r="D31" s="198"/>
      <c r="E31" s="194">
        <f>'Relação de Ruas'!G32</f>
        <v>0</v>
      </c>
      <c r="F31" s="47">
        <f>G31</f>
        <v>2097.1012499999997</v>
      </c>
      <c r="G31" s="47">
        <f>SUM(G16:G26)</f>
        <v>2097.1012499999997</v>
      </c>
      <c r="J31" s="1"/>
      <c r="K31" s="1"/>
      <c r="L31" s="1"/>
      <c r="M31" s="1"/>
      <c r="N31" s="213"/>
      <c r="O31" s="316"/>
      <c r="P31" s="316"/>
      <c r="Q31" s="1"/>
      <c r="R31" s="213"/>
      <c r="S31" s="1"/>
      <c r="T31" s="1"/>
    </row>
    <row r="32" spans="1:20" ht="15">
      <c r="A32" s="85"/>
      <c r="B32" s="1"/>
      <c r="C32" s="1"/>
      <c r="D32" s="1"/>
      <c r="E32" s="192"/>
      <c r="F32" s="1"/>
      <c r="G32" s="86"/>
      <c r="J32" s="1"/>
      <c r="K32" s="1"/>
      <c r="L32" s="1"/>
      <c r="M32" s="1"/>
      <c r="N32" s="213"/>
      <c r="O32" s="316"/>
      <c r="P32" s="316"/>
      <c r="Q32" s="1"/>
      <c r="R32" s="213"/>
      <c r="S32" s="1"/>
      <c r="T32" s="1"/>
    </row>
    <row r="33" spans="1:20" ht="15">
      <c r="A33" s="85" t="str">
        <f>BDI!A17</f>
        <v>Nome legível do responsável técnico pela elaboração da planilha Állan Felipe da Silva Pereira  CREA - MG 201.236/D</v>
      </c>
      <c r="B33" s="1"/>
      <c r="C33" s="1"/>
      <c r="D33" s="1"/>
      <c r="E33" s="192"/>
      <c r="F33" s="1"/>
      <c r="G33" s="86"/>
      <c r="J33" s="1"/>
      <c r="K33" s="1"/>
      <c r="L33" s="1"/>
      <c r="M33" s="1"/>
      <c r="N33" s="213"/>
      <c r="O33" s="316"/>
      <c r="P33" s="316"/>
      <c r="Q33" s="1"/>
      <c r="R33" s="213"/>
      <c r="S33" s="1"/>
      <c r="T33" s="1"/>
    </row>
    <row r="34" spans="1:20" ht="15">
      <c r="A34" s="85"/>
      <c r="B34" s="1"/>
      <c r="C34" s="1"/>
      <c r="D34" s="1"/>
      <c r="E34" s="192"/>
      <c r="F34" s="1"/>
      <c r="G34" s="86"/>
      <c r="J34" s="1"/>
      <c r="K34" s="1"/>
      <c r="L34" s="1"/>
      <c r="M34" s="1"/>
      <c r="N34" s="213"/>
      <c r="O34" s="316"/>
      <c r="P34" s="316"/>
      <c r="Q34" s="1"/>
      <c r="R34" s="213"/>
      <c r="S34" s="1"/>
      <c r="T34" s="1"/>
    </row>
    <row r="35" spans="1:20" ht="15">
      <c r="A35" s="305" t="str">
        <f>BDI!A20</f>
        <v>Assinatura do Responsável Técnico: ______________________________________________ Local e Data:  Pains 13 de Março de 2020</v>
      </c>
      <c r="B35" s="299"/>
      <c r="C35" s="299"/>
      <c r="D35" s="303"/>
      <c r="E35" s="304"/>
      <c r="F35" s="50"/>
      <c r="G35" s="300"/>
      <c r="J35" s="1"/>
      <c r="K35" s="1"/>
      <c r="L35" s="1"/>
      <c r="M35" s="1"/>
      <c r="N35" s="213"/>
      <c r="O35" s="316"/>
      <c r="P35" s="316"/>
      <c r="Q35" s="1"/>
      <c r="R35" s="213"/>
      <c r="S35" s="1"/>
      <c r="T35" s="1"/>
    </row>
    <row r="36" spans="1:20" ht="15">
      <c r="A36" s="85"/>
      <c r="B36" s="1"/>
      <c r="C36" s="1"/>
      <c r="D36" s="1"/>
      <c r="E36" s="192"/>
      <c r="F36" s="1"/>
      <c r="G36" s="86"/>
      <c r="J36" s="1"/>
      <c r="K36" s="1"/>
      <c r="L36" s="1"/>
      <c r="M36" s="1"/>
      <c r="N36" s="213"/>
      <c r="O36" s="316"/>
      <c r="P36" s="316"/>
      <c r="Q36" s="1"/>
      <c r="R36" s="213"/>
      <c r="S36" s="1"/>
      <c r="T36" s="1"/>
    </row>
    <row r="37" spans="1:20" ht="15.75" thickBot="1">
      <c r="A37" s="87"/>
      <c r="B37" s="89"/>
      <c r="C37" s="89"/>
      <c r="D37" s="89"/>
      <c r="E37" s="301"/>
      <c r="F37" s="89"/>
      <c r="G37" s="88"/>
      <c r="J37" s="1"/>
      <c r="K37" s="1"/>
      <c r="L37" s="1"/>
      <c r="M37" s="1"/>
      <c r="N37" s="213"/>
      <c r="O37" s="316"/>
      <c r="P37" s="316"/>
      <c r="Q37" s="1"/>
      <c r="R37" s="213"/>
      <c r="S37" s="1"/>
      <c r="T37" s="1"/>
    </row>
    <row r="38" spans="10:20" ht="15">
      <c r="J38" s="1"/>
      <c r="K38" s="1"/>
      <c r="L38" s="1"/>
      <c r="M38" s="1"/>
      <c r="N38" s="213"/>
      <c r="O38" s="316"/>
      <c r="P38" s="316"/>
      <c r="Q38" s="1"/>
      <c r="R38" s="213"/>
      <c r="S38" s="1"/>
      <c r="T38" s="1"/>
    </row>
    <row r="39" spans="10:20" ht="15">
      <c r="J39" s="1"/>
      <c r="K39" s="1"/>
      <c r="L39" s="1"/>
      <c r="M39" s="1"/>
      <c r="N39" s="213"/>
      <c r="O39" s="316"/>
      <c r="P39" s="316"/>
      <c r="Q39" s="1"/>
      <c r="R39" s="213"/>
      <c r="S39" s="1"/>
      <c r="T39" s="1"/>
    </row>
    <row r="40" spans="10:20" ht="15">
      <c r="J40" s="1"/>
      <c r="K40" s="1"/>
      <c r="L40" s="1"/>
      <c r="M40" s="1"/>
      <c r="N40" s="213"/>
      <c r="O40" s="316"/>
      <c r="P40" s="316"/>
      <c r="Q40" s="1"/>
      <c r="R40" s="213"/>
      <c r="S40" s="1"/>
      <c r="T40" s="1"/>
    </row>
    <row r="41" spans="10:20" ht="15">
      <c r="J41" s="1"/>
      <c r="K41" s="1"/>
      <c r="L41" s="1"/>
      <c r="M41" s="1"/>
      <c r="N41" s="213"/>
      <c r="O41" s="316"/>
      <c r="P41" s="316"/>
      <c r="Q41" s="1"/>
      <c r="R41" s="213"/>
      <c r="S41" s="1"/>
      <c r="T41" s="1"/>
    </row>
    <row r="42" spans="10:20" ht="1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sheetProtection/>
  <mergeCells count="27">
    <mergeCell ref="A31:B31"/>
    <mergeCell ref="A12:F12"/>
    <mergeCell ref="A10:F10"/>
    <mergeCell ref="A11:F11"/>
    <mergeCell ref="A6:F6"/>
    <mergeCell ref="A7:F7"/>
    <mergeCell ref="A8:F8"/>
    <mergeCell ref="A9:F9"/>
    <mergeCell ref="A14:B14"/>
    <mergeCell ref="O16:P16"/>
    <mergeCell ref="O18:P18"/>
    <mergeCell ref="O15:P15"/>
    <mergeCell ref="C2:E5"/>
    <mergeCell ref="O32:P32"/>
    <mergeCell ref="O33:P33"/>
    <mergeCell ref="O30:P30"/>
    <mergeCell ref="O31:P31"/>
    <mergeCell ref="O19:P19"/>
    <mergeCell ref="C14:F14"/>
    <mergeCell ref="O34:P34"/>
    <mergeCell ref="O35:P35"/>
    <mergeCell ref="O40:P40"/>
    <mergeCell ref="O41:P41"/>
    <mergeCell ref="O38:P38"/>
    <mergeCell ref="O39:P39"/>
    <mergeCell ref="O36:P36"/>
    <mergeCell ref="O37:P37"/>
  </mergeCells>
  <printOptions/>
  <pageMargins left="1.32" right="0.5118110236220472" top="0.7874015748031497" bottom="0.7874015748031497" header="0.31496062992125984" footer="0.31496062992125984"/>
  <pageSetup horizontalDpi="600" verticalDpi="600" orientation="landscape" paperSize="9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85" zoomScaleNormal="85" workbookViewId="0" topLeftCell="A4">
      <selection activeCell="I14" sqref="I14"/>
    </sheetView>
  </sheetViews>
  <sheetFormatPr defaultColWidth="9.140625" defaultRowHeight="15"/>
  <cols>
    <col min="1" max="1" width="9.140625" style="0" customWidth="1"/>
    <col min="2" max="2" width="34.140625" style="0" customWidth="1"/>
    <col min="3" max="3" width="15.57421875" style="0" customWidth="1"/>
    <col min="4" max="4" width="20.7109375" style="0" customWidth="1"/>
    <col min="5" max="5" width="16.57421875" style="0" customWidth="1"/>
    <col min="6" max="6" width="14.421875" style="0" customWidth="1"/>
    <col min="7" max="7" width="16.28125" style="0" customWidth="1"/>
    <col min="8" max="8" width="16.57421875" style="0" customWidth="1"/>
    <col min="9" max="9" width="13.8515625" style="0" customWidth="1"/>
    <col min="10" max="10" width="16.00390625" style="0" customWidth="1"/>
    <col min="11" max="11" width="16.421875" style="0" customWidth="1"/>
    <col min="12" max="12" width="9.57421875" style="0" bestFit="1" customWidth="1"/>
  </cols>
  <sheetData>
    <row r="1" spans="1:11" ht="20.25">
      <c r="A1" s="82"/>
      <c r="B1" s="134"/>
      <c r="C1" s="134"/>
      <c r="D1" s="134"/>
      <c r="E1" s="134"/>
      <c r="F1" s="134"/>
      <c r="G1" s="134"/>
      <c r="H1" s="134"/>
      <c r="I1" s="134"/>
      <c r="J1" s="83"/>
      <c r="K1" s="84"/>
    </row>
    <row r="2" spans="1:11" ht="18">
      <c r="A2" s="85"/>
      <c r="B2" s="91"/>
      <c r="C2" s="317" t="s">
        <v>152</v>
      </c>
      <c r="D2" s="340"/>
      <c r="E2" s="340"/>
      <c r="F2" s="340"/>
      <c r="G2" s="91"/>
      <c r="H2" s="91"/>
      <c r="I2" s="91"/>
      <c r="J2" s="346"/>
      <c r="K2" s="346"/>
    </row>
    <row r="3" spans="1:11" ht="15" customHeight="1">
      <c r="A3" s="85"/>
      <c r="B3" s="1"/>
      <c r="C3" s="340"/>
      <c r="D3" s="340"/>
      <c r="E3" s="340"/>
      <c r="F3" s="340"/>
      <c r="G3" s="91"/>
      <c r="H3" s="1"/>
      <c r="I3" s="1"/>
      <c r="J3" s="346"/>
      <c r="K3" s="346"/>
    </row>
    <row r="4" spans="1:11" ht="15" customHeight="1">
      <c r="A4" s="85"/>
      <c r="B4" s="1"/>
      <c r="C4" s="340"/>
      <c r="D4" s="340"/>
      <c r="E4" s="340"/>
      <c r="F4" s="340"/>
      <c r="G4" s="91"/>
      <c r="H4" s="1"/>
      <c r="I4" s="1"/>
      <c r="J4" s="346"/>
      <c r="K4" s="346"/>
    </row>
    <row r="5" spans="1:11" ht="15" customHeight="1">
      <c r="A5" s="85"/>
      <c r="B5" s="1"/>
      <c r="C5" s="340"/>
      <c r="D5" s="340"/>
      <c r="E5" s="340"/>
      <c r="F5" s="340"/>
      <c r="G5" s="91"/>
      <c r="H5" s="1"/>
      <c r="I5" s="1"/>
      <c r="J5" s="192"/>
      <c r="K5" s="291"/>
    </row>
    <row r="6" spans="1:11" ht="18.75" customHeight="1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9"/>
    </row>
    <row r="7" spans="1:11" ht="15">
      <c r="A7" s="19"/>
      <c r="B7" s="350" t="s">
        <v>151</v>
      </c>
      <c r="C7" s="350"/>
      <c r="D7" s="350"/>
      <c r="E7" s="350"/>
      <c r="F7" s="350"/>
      <c r="G7" s="350"/>
      <c r="H7" s="350"/>
      <c r="I7" s="350"/>
      <c r="J7" s="350"/>
      <c r="K7" s="351"/>
    </row>
    <row r="8" spans="1:11" ht="15" customHeight="1">
      <c r="A8" s="135"/>
      <c r="B8" s="352" t="s">
        <v>46</v>
      </c>
      <c r="C8" s="353"/>
      <c r="D8" s="353"/>
      <c r="E8" s="353"/>
      <c r="F8" s="353"/>
      <c r="G8" s="353"/>
      <c r="H8" s="353"/>
      <c r="I8" s="353"/>
      <c r="J8" s="353"/>
      <c r="K8" s="354"/>
    </row>
    <row r="9" spans="1:11" ht="1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ht="18">
      <c r="A10" s="341" t="s">
        <v>47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3"/>
    </row>
    <row r="11" spans="1:11" ht="15.75" thickBot="1">
      <c r="A11" s="99"/>
      <c r="B11" s="100"/>
      <c r="C11" s="100"/>
      <c r="D11" s="100"/>
      <c r="E11" s="100"/>
      <c r="F11" s="100"/>
      <c r="G11" s="100"/>
      <c r="H11" s="100"/>
      <c r="I11" s="100"/>
      <c r="J11" s="344"/>
      <c r="K11" s="345"/>
    </row>
    <row r="12" spans="1:11" ht="76.5">
      <c r="A12" s="138" t="s">
        <v>2</v>
      </c>
      <c r="B12" s="139" t="s">
        <v>48</v>
      </c>
      <c r="C12" s="139" t="s">
        <v>49</v>
      </c>
      <c r="D12" s="139" t="s">
        <v>50</v>
      </c>
      <c r="E12" s="139" t="s">
        <v>51</v>
      </c>
      <c r="F12" s="139" t="s">
        <v>116</v>
      </c>
      <c r="G12" s="139" t="s">
        <v>92</v>
      </c>
      <c r="H12" s="140" t="s">
        <v>52</v>
      </c>
      <c r="I12" s="140" t="s">
        <v>53</v>
      </c>
      <c r="J12" s="141" t="s">
        <v>93</v>
      </c>
      <c r="K12" s="142" t="s">
        <v>114</v>
      </c>
    </row>
    <row r="13" spans="1:11" ht="15">
      <c r="A13" s="25"/>
      <c r="B13" s="26"/>
      <c r="C13" s="27"/>
      <c r="D13" s="27"/>
      <c r="E13" s="27"/>
      <c r="F13" s="27"/>
      <c r="G13" s="27"/>
      <c r="H13" s="28"/>
      <c r="I13" s="28"/>
      <c r="J13" s="27"/>
      <c r="K13" s="143"/>
    </row>
    <row r="14" spans="1:11" ht="18" customHeight="1">
      <c r="A14" s="29" t="s">
        <v>120</v>
      </c>
      <c r="B14" s="144" t="s">
        <v>94</v>
      </c>
      <c r="C14" s="31">
        <v>264.15</v>
      </c>
      <c r="D14" s="31">
        <v>7.67</v>
      </c>
      <c r="E14" s="31">
        <v>7.67</v>
      </c>
      <c r="F14" s="31"/>
      <c r="G14" s="31"/>
      <c r="H14" s="32">
        <f>ROUND(C14*D14,2)</f>
        <v>2026.03</v>
      </c>
      <c r="I14" s="32">
        <f>ROUND(C14*E14,2)</f>
        <v>2026.03</v>
      </c>
      <c r="J14" s="31">
        <v>0</v>
      </c>
      <c r="K14" s="145">
        <v>0</v>
      </c>
    </row>
    <row r="15" spans="1:11" ht="17.25" customHeight="1">
      <c r="A15" s="29" t="s">
        <v>119</v>
      </c>
      <c r="B15" s="146" t="s">
        <v>147</v>
      </c>
      <c r="C15" s="35">
        <v>12</v>
      </c>
      <c r="D15" s="36">
        <v>7.3</v>
      </c>
      <c r="E15" s="31">
        <v>7.3</v>
      </c>
      <c r="F15" s="31"/>
      <c r="G15" s="31"/>
      <c r="H15" s="32">
        <f>ROUND(C15*D15,2)</f>
        <v>87.6</v>
      </c>
      <c r="I15" s="32">
        <f>ROUND(C15*E15,2)</f>
        <v>87.6</v>
      </c>
      <c r="J15" s="31"/>
      <c r="K15" s="145"/>
    </row>
    <row r="16" spans="1:11" ht="17.25" customHeight="1">
      <c r="A16" s="29"/>
      <c r="B16" s="146"/>
      <c r="C16" s="35"/>
      <c r="D16" s="36"/>
      <c r="E16" s="31"/>
      <c r="F16" s="31"/>
      <c r="G16" s="31"/>
      <c r="H16" s="37"/>
      <c r="I16" s="32"/>
      <c r="J16" s="31"/>
      <c r="K16" s="145"/>
    </row>
    <row r="17" spans="1:11" ht="17.25" customHeight="1">
      <c r="A17" s="29"/>
      <c r="B17" s="146"/>
      <c r="C17" s="31"/>
      <c r="D17" s="31"/>
      <c r="E17" s="31"/>
      <c r="F17" s="31"/>
      <c r="G17" s="31"/>
      <c r="H17" s="37"/>
      <c r="I17" s="32"/>
      <c r="J17" s="31"/>
      <c r="K17" s="145"/>
    </row>
    <row r="18" spans="1:11" ht="17.25" customHeight="1">
      <c r="A18" s="29"/>
      <c r="B18" s="146"/>
      <c r="C18" s="31"/>
      <c r="D18" s="31"/>
      <c r="E18" s="31"/>
      <c r="F18" s="31"/>
      <c r="G18" s="31"/>
      <c r="H18" s="37"/>
      <c r="I18" s="32"/>
      <c r="J18" s="31"/>
      <c r="K18" s="145"/>
    </row>
    <row r="19" spans="1:11" ht="29.25" customHeight="1">
      <c r="A19" s="29"/>
      <c r="B19" s="146"/>
      <c r="C19" s="31"/>
      <c r="D19" s="31"/>
      <c r="E19" s="31"/>
      <c r="F19" s="31"/>
      <c r="G19" s="31"/>
      <c r="H19" s="37"/>
      <c r="I19" s="32"/>
      <c r="J19" s="31"/>
      <c r="K19" s="145"/>
    </row>
    <row r="20" spans="1:11" ht="16.5" customHeight="1">
      <c r="A20" s="29"/>
      <c r="B20" s="146"/>
      <c r="C20" s="31"/>
      <c r="D20" s="31"/>
      <c r="E20" s="31"/>
      <c r="F20" s="31"/>
      <c r="G20" s="31"/>
      <c r="H20" s="37"/>
      <c r="I20" s="32"/>
      <c r="J20" s="31"/>
      <c r="K20" s="145"/>
    </row>
    <row r="21" spans="1:11" ht="15" customHeight="1">
      <c r="A21" s="29"/>
      <c r="B21" s="144"/>
      <c r="C21" s="31"/>
      <c r="D21" s="31"/>
      <c r="E21" s="31"/>
      <c r="F21" s="31"/>
      <c r="G21" s="31"/>
      <c r="H21" s="32"/>
      <c r="I21" s="32"/>
      <c r="J21" s="31"/>
      <c r="K21" s="145"/>
    </row>
    <row r="22" spans="1:11" ht="17.25" customHeight="1">
      <c r="A22" s="29"/>
      <c r="B22" s="147"/>
      <c r="C22" s="35"/>
      <c r="D22" s="36"/>
      <c r="E22" s="31"/>
      <c r="F22" s="31"/>
      <c r="G22" s="31"/>
      <c r="H22" s="37"/>
      <c r="I22" s="32"/>
      <c r="J22" s="31"/>
      <c r="K22" s="145"/>
    </row>
    <row r="23" spans="1:11" ht="17.25" customHeight="1">
      <c r="A23" s="29"/>
      <c r="B23" s="147"/>
      <c r="C23" s="35"/>
      <c r="D23" s="36"/>
      <c r="E23" s="31"/>
      <c r="F23" s="31"/>
      <c r="G23" s="31"/>
      <c r="H23" s="37"/>
      <c r="I23" s="32"/>
      <c r="J23" s="31"/>
      <c r="K23" s="145"/>
    </row>
    <row r="24" spans="1:11" ht="17.25" customHeight="1">
      <c r="A24" s="29"/>
      <c r="B24" s="147"/>
      <c r="C24" s="35"/>
      <c r="D24" s="36"/>
      <c r="E24" s="31"/>
      <c r="F24" s="31"/>
      <c r="G24" s="31"/>
      <c r="H24" s="37"/>
      <c r="I24" s="32"/>
      <c r="J24" s="31"/>
      <c r="K24" s="145"/>
    </row>
    <row r="25" spans="1:11" ht="27.75" customHeight="1">
      <c r="A25" s="29"/>
      <c r="B25" s="147"/>
      <c r="C25" s="35"/>
      <c r="D25" s="36"/>
      <c r="E25" s="31"/>
      <c r="F25" s="31"/>
      <c r="G25" s="31"/>
      <c r="H25" s="37"/>
      <c r="I25" s="32"/>
      <c r="J25" s="31"/>
      <c r="K25" s="145"/>
    </row>
    <row r="26" spans="1:11" ht="17.25" customHeight="1">
      <c r="A26" s="29"/>
      <c r="B26" s="147"/>
      <c r="C26" s="35"/>
      <c r="D26" s="36"/>
      <c r="E26" s="31"/>
      <c r="F26" s="31"/>
      <c r="G26" s="31"/>
      <c r="H26" s="37"/>
      <c r="I26" s="32"/>
      <c r="J26" s="31"/>
      <c r="K26" s="145"/>
    </row>
    <row r="27" spans="1:11" ht="17.25" customHeight="1">
      <c r="A27" s="29"/>
      <c r="B27" s="34"/>
      <c r="C27" s="35"/>
      <c r="D27" s="36"/>
      <c r="E27" s="31"/>
      <c r="F27" s="31"/>
      <c r="G27" s="148"/>
      <c r="H27" s="148"/>
      <c r="I27" s="149"/>
      <c r="J27" s="148"/>
      <c r="K27" s="150"/>
    </row>
    <row r="28" spans="1:11" ht="17.25" customHeight="1">
      <c r="A28" s="151"/>
      <c r="B28" s="152"/>
      <c r="C28" s="153"/>
      <c r="D28" s="154"/>
      <c r="E28" s="31"/>
      <c r="F28" s="155"/>
      <c r="G28" s="156"/>
      <c r="H28" s="157"/>
      <c r="I28" s="158"/>
      <c r="J28" s="159"/>
      <c r="K28" s="160"/>
    </row>
    <row r="29" spans="1:11" ht="17.25" customHeight="1">
      <c r="A29" s="33"/>
      <c r="B29" s="161"/>
      <c r="C29" s="35"/>
      <c r="D29" s="36"/>
      <c r="E29" s="36"/>
      <c r="F29" s="36"/>
      <c r="G29" s="156"/>
      <c r="H29" s="148"/>
      <c r="I29" s="149"/>
      <c r="J29" s="148"/>
      <c r="K29" s="150"/>
    </row>
    <row r="30" spans="1:11" ht="17.25" customHeight="1">
      <c r="A30" s="162"/>
      <c r="B30" s="163"/>
      <c r="C30" s="164"/>
      <c r="D30" s="165"/>
      <c r="E30" s="166"/>
      <c r="F30" s="166"/>
      <c r="G30" s="148"/>
      <c r="H30" s="167"/>
      <c r="I30" s="168"/>
      <c r="J30" s="166"/>
      <c r="K30" s="169"/>
    </row>
    <row r="31" spans="1:11" ht="17.25" customHeight="1" thickBot="1">
      <c r="A31" s="38"/>
      <c r="B31" s="39"/>
      <c r="C31" s="170"/>
      <c r="D31" s="40"/>
      <c r="E31" s="166"/>
      <c r="F31" s="206"/>
      <c r="G31" s="171"/>
      <c r="H31" s="172"/>
      <c r="I31" s="172"/>
      <c r="J31" s="173"/>
      <c r="K31" s="174"/>
    </row>
    <row r="32" spans="1:12" ht="15.75" thickBot="1">
      <c r="A32" s="42"/>
      <c r="B32" s="43" t="s">
        <v>54</v>
      </c>
      <c r="C32" s="44"/>
      <c r="D32" s="45"/>
      <c r="E32" s="45"/>
      <c r="F32" s="208">
        <f>SUM(F14:F24)</f>
        <v>0</v>
      </c>
      <c r="G32" s="46">
        <f>SUM(G14:G24)</f>
        <v>0</v>
      </c>
      <c r="H32" s="208">
        <f>ROUND(SUM(H14:H25),2)</f>
        <v>2113.63</v>
      </c>
      <c r="I32" s="47">
        <f>ROUND(SUM(I14:I26),2)</f>
        <v>2113.63</v>
      </c>
      <c r="J32" s="47">
        <f>ROUND(SUM(J21:J30),2)</f>
        <v>0</v>
      </c>
      <c r="K32" s="47">
        <f>ROUND(SUM(K21:K30),2)</f>
        <v>0</v>
      </c>
      <c r="L32" s="289"/>
    </row>
    <row r="34" spans="1:8" ht="15">
      <c r="A34" t="str">
        <f>BDI!A17</f>
        <v>Nome legível do responsável técnico pela elaboração da planilha Állan Felipe da Silva Pereira  CREA - MG 201.236/D</v>
      </c>
      <c r="H34" s="205"/>
    </row>
    <row r="35" ht="15">
      <c r="D35" s="48"/>
    </row>
    <row r="36" spans="1:9" ht="15">
      <c r="A36" s="302" t="str">
        <f>BDI!A20</f>
        <v>Assinatura do Responsável Técnico: ______________________________________________ Local e Data:  Pains 13 de Março de 2020</v>
      </c>
      <c r="B36" s="299"/>
      <c r="C36" s="49"/>
      <c r="D36" s="303"/>
      <c r="E36" s="304"/>
      <c r="F36" s="304"/>
      <c r="G36" s="304"/>
      <c r="H36" s="50"/>
      <c r="I36" s="50"/>
    </row>
    <row r="37" spans="1:2" ht="15">
      <c r="A37" s="1"/>
      <c r="B37" s="1"/>
    </row>
  </sheetData>
  <sheetProtection/>
  <mergeCells count="9">
    <mergeCell ref="C2:F5"/>
    <mergeCell ref="A10:K10"/>
    <mergeCell ref="J11:K11"/>
    <mergeCell ref="J2:K2"/>
    <mergeCell ref="J3:K3"/>
    <mergeCell ref="J4:K4"/>
    <mergeCell ref="A6:K6"/>
    <mergeCell ref="B7:K7"/>
    <mergeCell ref="B8:K8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="85" zoomScaleNormal="85" zoomScaleSheetLayoutView="85" workbookViewId="0" topLeftCell="A19">
      <selection activeCell="E44" sqref="E44"/>
    </sheetView>
  </sheetViews>
  <sheetFormatPr defaultColWidth="9.140625" defaultRowHeight="15"/>
  <cols>
    <col min="1" max="1" width="4.7109375" style="0" customWidth="1"/>
    <col min="2" max="2" width="9.00390625" style="113" customWidth="1"/>
    <col min="3" max="3" width="14.140625" style="113" customWidth="1"/>
    <col min="4" max="4" width="11.8515625" style="113" customWidth="1"/>
    <col min="5" max="5" width="56.8515625" style="113" customWidth="1"/>
    <col min="6" max="6" width="10.140625" style="112" customWidth="1"/>
    <col min="7" max="8" width="14.00390625" style="187" customWidth="1"/>
    <col min="9" max="9" width="12.28125" style="16" customWidth="1"/>
    <col min="10" max="11" width="17.57421875" style="16" customWidth="1"/>
    <col min="12" max="12" width="15.140625" style="16" customWidth="1"/>
    <col min="13" max="13" width="17.421875" style="288" customWidth="1"/>
    <col min="14" max="14" width="13.7109375" style="268" customWidth="1"/>
    <col min="15" max="15" width="14.00390625" style="48" customWidth="1"/>
    <col min="16" max="16" width="13.7109375" style="16" customWidth="1"/>
    <col min="17" max="17" width="17.421875" style="0" bestFit="1" customWidth="1"/>
  </cols>
  <sheetData>
    <row r="1" spans="1:15" ht="75" customHeight="1">
      <c r="A1" s="4"/>
      <c r="B1" s="128"/>
      <c r="C1" s="356"/>
      <c r="D1" s="356"/>
      <c r="E1" s="356"/>
      <c r="F1" s="356"/>
      <c r="G1" s="356"/>
      <c r="H1" s="356"/>
      <c r="I1" s="356"/>
      <c r="J1" s="129"/>
      <c r="K1" s="233"/>
      <c r="L1" s="233"/>
      <c r="M1" s="275"/>
      <c r="N1" s="259"/>
      <c r="O1" s="132"/>
    </row>
    <row r="2" spans="1:15" ht="39" customHeight="1" thickBot="1">
      <c r="A2" s="2"/>
      <c r="B2" s="361"/>
      <c r="C2" s="362"/>
      <c r="D2" s="362"/>
      <c r="E2" s="362"/>
      <c r="F2" s="362"/>
      <c r="G2" s="362"/>
      <c r="H2" s="362"/>
      <c r="I2" s="362"/>
      <c r="J2" s="363"/>
      <c r="K2" s="234"/>
      <c r="L2" s="234"/>
      <c r="M2" s="276"/>
      <c r="N2" s="257"/>
      <c r="O2" s="131"/>
    </row>
    <row r="3" spans="1:15" ht="26.25" customHeight="1" thickBot="1">
      <c r="A3" s="2"/>
      <c r="B3" s="358" t="s">
        <v>11</v>
      </c>
      <c r="C3" s="359"/>
      <c r="D3" s="359"/>
      <c r="E3" s="359"/>
      <c r="F3" s="359"/>
      <c r="G3" s="359"/>
      <c r="H3" s="359"/>
      <c r="I3" s="359"/>
      <c r="J3" s="360"/>
      <c r="K3" s="235"/>
      <c r="L3" s="235"/>
      <c r="M3" s="277"/>
      <c r="N3" s="258"/>
      <c r="O3" s="131"/>
    </row>
    <row r="4" spans="1:15" ht="9.75" customHeight="1" thickBot="1">
      <c r="A4" s="2"/>
      <c r="B4" s="114"/>
      <c r="C4" s="114"/>
      <c r="D4" s="114"/>
      <c r="E4" s="103"/>
      <c r="F4" s="102"/>
      <c r="G4" s="184"/>
      <c r="H4" s="184"/>
      <c r="I4" s="14"/>
      <c r="J4" s="14"/>
      <c r="K4" s="14"/>
      <c r="L4" s="14"/>
      <c r="M4" s="278"/>
      <c r="N4" s="259"/>
      <c r="O4" s="131"/>
    </row>
    <row r="5" spans="1:15" ht="14.25" customHeight="1" thickBot="1">
      <c r="A5" s="2"/>
      <c r="B5" s="376" t="s">
        <v>12</v>
      </c>
      <c r="C5" s="376"/>
      <c r="D5" s="376"/>
      <c r="E5" s="377"/>
      <c r="F5" s="377"/>
      <c r="G5" s="377"/>
      <c r="H5" s="228"/>
      <c r="I5" s="364" t="s">
        <v>0</v>
      </c>
      <c r="J5" s="364"/>
      <c r="K5" s="236"/>
      <c r="L5" s="236"/>
      <c r="M5" s="279"/>
      <c r="N5" s="260"/>
      <c r="O5" s="131"/>
    </row>
    <row r="6" spans="1:15" ht="18" customHeight="1" thickBot="1">
      <c r="A6" s="2"/>
      <c r="B6" s="378" t="s">
        <v>37</v>
      </c>
      <c r="C6" s="378"/>
      <c r="D6" s="378"/>
      <c r="E6" s="378"/>
      <c r="F6" s="378"/>
      <c r="G6" s="378"/>
      <c r="H6" s="229"/>
      <c r="I6" s="366"/>
      <c r="J6" s="366"/>
      <c r="K6" s="237"/>
      <c r="L6" s="237"/>
      <c r="M6" s="280"/>
      <c r="N6" s="261"/>
      <c r="O6" s="131"/>
    </row>
    <row r="7" spans="1:16" ht="35.25" customHeight="1" thickBot="1">
      <c r="A7" s="2"/>
      <c r="B7" s="225" t="s">
        <v>1</v>
      </c>
      <c r="C7" s="357" t="s">
        <v>142</v>
      </c>
      <c r="D7" s="357"/>
      <c r="E7" s="357"/>
      <c r="F7" s="357"/>
      <c r="G7" s="357"/>
      <c r="H7" s="227"/>
      <c r="I7" s="127" t="s">
        <v>89</v>
      </c>
      <c r="J7" s="226">
        <f>BDI!I6</f>
        <v>0.2381</v>
      </c>
      <c r="K7" s="238"/>
      <c r="L7" s="238"/>
      <c r="M7" s="281"/>
      <c r="N7" s="273"/>
      <c r="O7" s="133"/>
      <c r="P7" s="200">
        <f>BDI!I6</f>
        <v>0.2381</v>
      </c>
    </row>
    <row r="8" spans="1:15" ht="18.75" customHeight="1" thickBot="1">
      <c r="A8" s="2"/>
      <c r="B8" s="365" t="s">
        <v>139</v>
      </c>
      <c r="C8" s="365"/>
      <c r="D8" s="365"/>
      <c r="E8" s="365"/>
      <c r="F8" s="365"/>
      <c r="G8" s="365"/>
      <c r="H8" s="365"/>
      <c r="I8" s="365"/>
      <c r="J8" s="365"/>
      <c r="K8" s="239"/>
      <c r="L8" s="239"/>
      <c r="M8" s="282"/>
      <c r="N8" s="262"/>
      <c r="O8" s="131"/>
    </row>
    <row r="9" spans="1:16" ht="16.5" customHeight="1" thickBot="1">
      <c r="A9" s="2"/>
      <c r="B9" s="372" t="s">
        <v>2</v>
      </c>
      <c r="C9" s="372" t="s">
        <v>13</v>
      </c>
      <c r="D9" s="372" t="s">
        <v>3</v>
      </c>
      <c r="E9" s="372"/>
      <c r="F9" s="374" t="s">
        <v>4</v>
      </c>
      <c r="G9" s="183"/>
      <c r="H9" s="230"/>
      <c r="I9" s="372" t="s">
        <v>7</v>
      </c>
      <c r="J9" s="372" t="s">
        <v>8</v>
      </c>
      <c r="K9" s="240"/>
      <c r="L9" s="240"/>
      <c r="M9" s="280"/>
      <c r="N9" s="261"/>
      <c r="O9" s="131"/>
      <c r="P9" s="371" t="s">
        <v>113</v>
      </c>
    </row>
    <row r="10" spans="1:16" ht="15.75" thickBot="1">
      <c r="A10" s="2"/>
      <c r="B10" s="372"/>
      <c r="C10" s="372"/>
      <c r="D10" s="372"/>
      <c r="E10" s="372"/>
      <c r="F10" s="374"/>
      <c r="G10" s="183" t="s">
        <v>6</v>
      </c>
      <c r="H10" s="230"/>
      <c r="I10" s="372"/>
      <c r="J10" s="372"/>
      <c r="K10" s="240"/>
      <c r="L10" s="240"/>
      <c r="M10" s="280"/>
      <c r="N10" s="261"/>
      <c r="O10" s="131"/>
      <c r="P10" s="371"/>
    </row>
    <row r="11" spans="1:16" ht="15.75" thickBot="1">
      <c r="A11" s="2"/>
      <c r="B11" s="126">
        <v>1</v>
      </c>
      <c r="C11" s="126" t="s">
        <v>15</v>
      </c>
      <c r="D11" s="375" t="s">
        <v>16</v>
      </c>
      <c r="E11" s="375"/>
      <c r="F11" s="215"/>
      <c r="G11" s="216"/>
      <c r="H11" s="217" t="s">
        <v>128</v>
      </c>
      <c r="I11" s="217" t="s">
        <v>129</v>
      </c>
      <c r="J11" s="218">
        <f>ROUND(J12,2)</f>
        <v>1347.99</v>
      </c>
      <c r="K11" s="241"/>
      <c r="L11" s="241"/>
      <c r="M11" s="280"/>
      <c r="N11" s="263"/>
      <c r="O11" s="131"/>
      <c r="P11" s="371"/>
    </row>
    <row r="12" spans="1:16" ht="102.75" customHeight="1" thickBot="1">
      <c r="A12" s="2"/>
      <c r="B12" s="180" t="s">
        <v>22</v>
      </c>
      <c r="C12" s="180" t="s">
        <v>14</v>
      </c>
      <c r="D12" s="373" t="s">
        <v>17</v>
      </c>
      <c r="E12" s="373"/>
      <c r="F12" s="181">
        <f>Memoria!I15</f>
        <v>1</v>
      </c>
      <c r="G12" s="180" t="s">
        <v>44</v>
      </c>
      <c r="H12" s="182">
        <v>1088.76</v>
      </c>
      <c r="I12" s="182">
        <f>H12*(1+$J$7)</f>
        <v>1347.993756</v>
      </c>
      <c r="J12" s="121">
        <f>ROUND(F12*I12,2)</f>
        <v>1347.99</v>
      </c>
      <c r="K12" s="242">
        <v>1</v>
      </c>
      <c r="L12" s="242">
        <v>1356.87</v>
      </c>
      <c r="M12" s="283">
        <f aca="true" t="shared" si="0" ref="M12:M25">L12*K12</f>
        <v>1356.87</v>
      </c>
      <c r="N12" s="264" t="b">
        <f aca="true" t="shared" si="1" ref="N12:N27">M12=J12</f>
        <v>0</v>
      </c>
      <c r="O12" s="131"/>
      <c r="P12" s="117">
        <v>1159.26</v>
      </c>
    </row>
    <row r="13" spans="1:16" ht="15" customHeight="1" thickBot="1">
      <c r="A13" s="2"/>
      <c r="B13" s="180"/>
      <c r="C13" s="180"/>
      <c r="D13" s="367"/>
      <c r="E13" s="368"/>
      <c r="F13" s="188"/>
      <c r="G13" s="180"/>
      <c r="H13" s="182"/>
      <c r="I13" s="182"/>
      <c r="J13" s="122"/>
      <c r="K13" s="243"/>
      <c r="L13" s="243"/>
      <c r="M13" s="283"/>
      <c r="N13" s="264" t="b">
        <f t="shared" si="1"/>
        <v>1</v>
      </c>
      <c r="O13" s="131"/>
      <c r="P13" s="117"/>
    </row>
    <row r="14" spans="1:16" ht="18.75" customHeight="1" thickBot="1">
      <c r="A14" s="2"/>
      <c r="B14" s="126">
        <v>2</v>
      </c>
      <c r="C14" s="126" t="s">
        <v>18</v>
      </c>
      <c r="D14" s="355" t="s">
        <v>19</v>
      </c>
      <c r="E14" s="355"/>
      <c r="F14" s="125"/>
      <c r="G14" s="185"/>
      <c r="H14" s="190"/>
      <c r="I14" s="190"/>
      <c r="J14" s="123">
        <f>ROUND(J15+J16,2)</f>
        <v>2120.04</v>
      </c>
      <c r="K14" s="244"/>
      <c r="L14" s="244"/>
      <c r="M14" s="283"/>
      <c r="N14" s="264" t="b">
        <f t="shared" si="1"/>
        <v>0</v>
      </c>
      <c r="O14" s="131"/>
      <c r="P14" s="117"/>
    </row>
    <row r="15" spans="1:16" ht="15.75" customHeight="1" thickBot="1">
      <c r="A15" s="2"/>
      <c r="B15" s="180" t="s">
        <v>23</v>
      </c>
      <c r="C15" s="180" t="s">
        <v>166</v>
      </c>
      <c r="D15" s="373" t="s">
        <v>167</v>
      </c>
      <c r="E15" s="373"/>
      <c r="F15" s="181">
        <v>16</v>
      </c>
      <c r="G15" s="180" t="s">
        <v>20</v>
      </c>
      <c r="H15" s="182">
        <v>82</v>
      </c>
      <c r="I15" s="182">
        <f>H15*(1+$J$7)</f>
        <v>101.5242</v>
      </c>
      <c r="J15" s="121">
        <f>ROUND(F15*I15,2)</f>
        <v>1624.39</v>
      </c>
      <c r="K15" s="242">
        <v>50</v>
      </c>
      <c r="L15" s="242">
        <v>93.96</v>
      </c>
      <c r="M15" s="283">
        <f t="shared" si="0"/>
        <v>4698</v>
      </c>
      <c r="N15" s="264" t="b">
        <f t="shared" si="1"/>
        <v>0</v>
      </c>
      <c r="O15" s="131"/>
      <c r="P15" s="117">
        <v>69</v>
      </c>
    </row>
    <row r="16" spans="1:16" ht="16.5" customHeight="1" thickBot="1">
      <c r="A16" s="2"/>
      <c r="B16" s="180" t="s">
        <v>145</v>
      </c>
      <c r="C16" s="180" t="s">
        <v>143</v>
      </c>
      <c r="D16" s="379" t="s">
        <v>144</v>
      </c>
      <c r="E16" s="380"/>
      <c r="F16" s="181">
        <f>Memoria!G18</f>
        <v>21.396690000000003</v>
      </c>
      <c r="G16" s="180" t="s">
        <v>21</v>
      </c>
      <c r="H16" s="182">
        <v>18.71</v>
      </c>
      <c r="I16" s="182">
        <f>H16*(1+$J$7)</f>
        <v>23.164851000000002</v>
      </c>
      <c r="J16" s="121">
        <f>ROUND(F16*I16,2)</f>
        <v>495.65</v>
      </c>
      <c r="K16" s="242">
        <v>50</v>
      </c>
      <c r="L16" s="242">
        <v>93.96</v>
      </c>
      <c r="M16" s="283">
        <f>L16*K16</f>
        <v>4698</v>
      </c>
      <c r="N16" s="264" t="b">
        <f t="shared" si="1"/>
        <v>0</v>
      </c>
      <c r="O16" s="131"/>
      <c r="P16" s="117"/>
    </row>
    <row r="17" spans="1:16" ht="15.75" customHeight="1" thickBot="1">
      <c r="A17" s="2"/>
      <c r="B17" s="222"/>
      <c r="C17" s="223"/>
      <c r="D17" s="369"/>
      <c r="E17" s="370"/>
      <c r="F17" s="221"/>
      <c r="G17" s="220"/>
      <c r="H17" s="224"/>
      <c r="I17" s="182"/>
      <c r="J17" s="204"/>
      <c r="K17" s="245"/>
      <c r="L17" s="245"/>
      <c r="M17" s="283"/>
      <c r="N17" s="264" t="b">
        <f t="shared" si="1"/>
        <v>1</v>
      </c>
      <c r="O17" s="131"/>
      <c r="P17" s="116"/>
    </row>
    <row r="18" spans="1:16" ht="15.75" customHeight="1" thickBot="1">
      <c r="A18" s="2"/>
      <c r="B18" s="126">
        <v>3</v>
      </c>
      <c r="C18" s="125" t="s">
        <v>127</v>
      </c>
      <c r="D18" s="355" t="s">
        <v>112</v>
      </c>
      <c r="E18" s="355"/>
      <c r="F18" s="219"/>
      <c r="G18" s="185"/>
      <c r="H18" s="190"/>
      <c r="I18" s="190"/>
      <c r="J18" s="123">
        <f>ROUND(SUM(J19:J25),2)</f>
        <v>96531.97</v>
      </c>
      <c r="K18" s="283"/>
      <c r="L18" s="283"/>
      <c r="M18" s="283"/>
      <c r="N18" s="264" t="b">
        <f t="shared" si="1"/>
        <v>0</v>
      </c>
      <c r="O18" s="131"/>
      <c r="P18" s="116"/>
    </row>
    <row r="19" spans="1:16" ht="13.5" customHeight="1" thickBot="1">
      <c r="A19" s="2"/>
      <c r="B19" s="180"/>
      <c r="C19" s="179"/>
      <c r="D19" s="373"/>
      <c r="E19" s="373"/>
      <c r="F19" s="181"/>
      <c r="G19" s="180"/>
      <c r="H19" s="255"/>
      <c r="I19" s="182"/>
      <c r="J19" s="121"/>
      <c r="K19" s="242">
        <v>614.84</v>
      </c>
      <c r="L19" s="242">
        <v>1.23</v>
      </c>
      <c r="M19" s="283">
        <f t="shared" si="0"/>
        <v>756.2532</v>
      </c>
      <c r="N19" s="264" t="b">
        <f t="shared" si="1"/>
        <v>0</v>
      </c>
      <c r="O19" s="131"/>
      <c r="P19" s="117">
        <v>1.03</v>
      </c>
    </row>
    <row r="20" spans="1:17" ht="25.5" customHeight="1" thickBot="1">
      <c r="A20" s="2"/>
      <c r="B20" s="180" t="s">
        <v>115</v>
      </c>
      <c r="C20" s="180" t="s">
        <v>161</v>
      </c>
      <c r="D20" s="373" t="s">
        <v>163</v>
      </c>
      <c r="E20" s="373"/>
      <c r="F20" s="181">
        <f>ROUND(Memoria!O20,2)</f>
        <v>503.3</v>
      </c>
      <c r="G20" s="180" t="s">
        <v>162</v>
      </c>
      <c r="H20" s="182">
        <v>0.53</v>
      </c>
      <c r="I20" s="182">
        <f aca="true" t="shared" si="2" ref="I20:I25">H20*(1+$J$7)</f>
        <v>0.656193</v>
      </c>
      <c r="J20" s="121">
        <f aca="true" t="shared" si="3" ref="J20:J25">ROUND(F20*I20,2)</f>
        <v>330.26</v>
      </c>
      <c r="K20" s="242">
        <v>1106.712</v>
      </c>
      <c r="L20" s="242">
        <v>1</v>
      </c>
      <c r="M20" s="283">
        <f t="shared" si="0"/>
        <v>1106.712</v>
      </c>
      <c r="N20" s="264" t="b">
        <f t="shared" si="1"/>
        <v>0</v>
      </c>
      <c r="O20" s="131"/>
      <c r="P20" s="117">
        <v>0.71</v>
      </c>
      <c r="Q20" s="211" t="e">
        <f>#REF!+#REF!</f>
        <v>#REF!</v>
      </c>
    </row>
    <row r="21" spans="1:16" ht="28.5" customHeight="1" thickBot="1">
      <c r="A21" s="2"/>
      <c r="B21" s="180" t="s">
        <v>122</v>
      </c>
      <c r="C21" s="180" t="s">
        <v>34</v>
      </c>
      <c r="D21" s="373" t="s">
        <v>157</v>
      </c>
      <c r="E21" s="373"/>
      <c r="F21" s="181">
        <f>'Memoria '!G31</f>
        <v>2097.1012499999997</v>
      </c>
      <c r="G21" s="180" t="s">
        <v>21</v>
      </c>
      <c r="H21" s="182">
        <v>6.73</v>
      </c>
      <c r="I21" s="182">
        <f t="shared" si="2"/>
        <v>8.332413</v>
      </c>
      <c r="J21" s="121">
        <f t="shared" si="3"/>
        <v>17473.91</v>
      </c>
      <c r="K21" s="242">
        <v>614.84</v>
      </c>
      <c r="L21" s="242">
        <v>4.07</v>
      </c>
      <c r="M21" s="283">
        <f t="shared" si="0"/>
        <v>2502.3988000000004</v>
      </c>
      <c r="N21" s="264" t="b">
        <f t="shared" si="1"/>
        <v>0</v>
      </c>
      <c r="O21" s="131"/>
      <c r="P21" s="117">
        <v>2.96</v>
      </c>
    </row>
    <row r="22" spans="1:16" ht="26.25" customHeight="1" thickBot="1">
      <c r="A22" s="2"/>
      <c r="B22" s="180" t="s">
        <v>123</v>
      </c>
      <c r="C22" s="180" t="s">
        <v>35</v>
      </c>
      <c r="D22" s="373" t="s">
        <v>158</v>
      </c>
      <c r="E22" s="373"/>
      <c r="F22" s="181">
        <f>'Memoria '!G31</f>
        <v>2097.1012499999997</v>
      </c>
      <c r="G22" s="180" t="s">
        <v>21</v>
      </c>
      <c r="H22" s="182">
        <v>1.41</v>
      </c>
      <c r="I22" s="182">
        <f t="shared" si="2"/>
        <v>1.7457209999999999</v>
      </c>
      <c r="J22" s="269">
        <f t="shared" si="3"/>
        <v>3660.95</v>
      </c>
      <c r="K22" s="242">
        <v>3969.38</v>
      </c>
      <c r="L22" s="242">
        <v>1.04</v>
      </c>
      <c r="M22" s="283">
        <f t="shared" si="0"/>
        <v>4128.1552</v>
      </c>
      <c r="N22" s="264" t="b">
        <f t="shared" si="1"/>
        <v>0</v>
      </c>
      <c r="O22" s="131"/>
      <c r="P22" s="117">
        <v>0.79</v>
      </c>
    </row>
    <row r="23" spans="1:16" ht="51" customHeight="1" thickBot="1">
      <c r="A23" s="2"/>
      <c r="B23" s="180" t="s">
        <v>124</v>
      </c>
      <c r="C23" s="180" t="s">
        <v>36</v>
      </c>
      <c r="D23" s="373" t="s">
        <v>169</v>
      </c>
      <c r="E23" s="373"/>
      <c r="F23" s="181">
        <f>ROUND(Memoria!K23,2)</f>
        <v>20.97</v>
      </c>
      <c r="G23" s="180" t="s">
        <v>33</v>
      </c>
      <c r="H23" s="182">
        <v>695.8</v>
      </c>
      <c r="I23" s="182">
        <f t="shared" si="2"/>
        <v>861.46998</v>
      </c>
      <c r="J23" s="246">
        <f t="shared" si="3"/>
        <v>18065.03</v>
      </c>
      <c r="K23" s="271">
        <v>158.7752</v>
      </c>
      <c r="L23" s="242">
        <v>574.59</v>
      </c>
      <c r="M23" s="283">
        <f t="shared" si="0"/>
        <v>91230.642168</v>
      </c>
      <c r="N23" s="264" t="b">
        <f t="shared" si="1"/>
        <v>0</v>
      </c>
      <c r="O23" s="131"/>
      <c r="P23" s="117">
        <v>452.46</v>
      </c>
    </row>
    <row r="24" spans="1:16" ht="64.5" customHeight="1" thickBot="1">
      <c r="A24" s="2"/>
      <c r="B24" s="180" t="s">
        <v>125</v>
      </c>
      <c r="C24" s="180" t="s">
        <v>36</v>
      </c>
      <c r="D24" s="373" t="s">
        <v>168</v>
      </c>
      <c r="E24" s="373"/>
      <c r="F24" s="181">
        <f>Memoria!K24</f>
        <v>62.91303749999999</v>
      </c>
      <c r="G24" s="180" t="s">
        <v>33</v>
      </c>
      <c r="H24" s="182">
        <v>695.8</v>
      </c>
      <c r="I24" s="182">
        <f t="shared" si="2"/>
        <v>861.46998</v>
      </c>
      <c r="J24" s="246">
        <f t="shared" si="3"/>
        <v>54197.69</v>
      </c>
      <c r="K24" s="271"/>
      <c r="L24" s="242"/>
      <c r="M24" s="283"/>
      <c r="N24" s="264"/>
      <c r="O24" s="131"/>
      <c r="P24" s="214"/>
    </row>
    <row r="25" spans="1:16" ht="64.5" customHeight="1" thickBot="1">
      <c r="A25" s="2"/>
      <c r="B25" s="180" t="s">
        <v>126</v>
      </c>
      <c r="C25" s="180" t="s">
        <v>159</v>
      </c>
      <c r="D25" s="373" t="s">
        <v>160</v>
      </c>
      <c r="E25" s="373"/>
      <c r="F25" s="181">
        <f>Memoria!O25</f>
        <v>2516.5215</v>
      </c>
      <c r="G25" s="180" t="s">
        <v>32</v>
      </c>
      <c r="H25" s="182">
        <v>0.9</v>
      </c>
      <c r="I25" s="182">
        <f t="shared" si="2"/>
        <v>1.11429</v>
      </c>
      <c r="J25" s="121">
        <f t="shared" si="3"/>
        <v>2804.13</v>
      </c>
      <c r="K25" s="270">
        <v>7938.76</v>
      </c>
      <c r="L25" s="242">
        <v>0.9</v>
      </c>
      <c r="M25" s="283">
        <f t="shared" si="0"/>
        <v>7144.884</v>
      </c>
      <c r="N25" s="264" t="b">
        <f t="shared" si="1"/>
        <v>0</v>
      </c>
      <c r="O25" s="131"/>
      <c r="P25" s="117">
        <v>0.64</v>
      </c>
    </row>
    <row r="26" spans="1:15" ht="15.75" thickBot="1">
      <c r="A26" s="2"/>
      <c r="B26" s="183"/>
      <c r="C26" s="180"/>
      <c r="D26" s="367"/>
      <c r="E26" s="368"/>
      <c r="F26" s="188"/>
      <c r="G26" s="180"/>
      <c r="H26" s="180"/>
      <c r="I26" s="189"/>
      <c r="J26" s="122"/>
      <c r="K26" s="243"/>
      <c r="L26" s="243"/>
      <c r="M26" s="283"/>
      <c r="N26" s="264" t="b">
        <f t="shared" si="1"/>
        <v>1</v>
      </c>
      <c r="O26" s="132"/>
    </row>
    <row r="27" spans="1:15" ht="15.75" thickBot="1">
      <c r="A27" s="2"/>
      <c r="B27" s="126"/>
      <c r="C27" s="124"/>
      <c r="D27" s="355" t="s">
        <v>91</v>
      </c>
      <c r="E27" s="355"/>
      <c r="F27" s="125"/>
      <c r="G27" s="185"/>
      <c r="H27" s="185"/>
      <c r="I27" s="123"/>
      <c r="J27" s="256">
        <f>ROUND(J14+J18+J11,2)</f>
        <v>100000</v>
      </c>
      <c r="K27" s="272">
        <f>100000-J27</f>
        <v>0</v>
      </c>
      <c r="L27" s="244"/>
      <c r="M27" s="274">
        <f>SUM(M12:M25)</f>
        <v>117621.915368</v>
      </c>
      <c r="N27" s="264" t="b">
        <f t="shared" si="1"/>
        <v>0</v>
      </c>
      <c r="O27" s="131"/>
    </row>
    <row r="28" spans="1:15" ht="15">
      <c r="A28" s="2"/>
      <c r="B28" s="103"/>
      <c r="C28" s="105"/>
      <c r="D28" s="105"/>
      <c r="E28" s="105"/>
      <c r="F28" s="104"/>
      <c r="G28" s="105"/>
      <c r="H28" s="105"/>
      <c r="I28" s="106"/>
      <c r="J28" s="120"/>
      <c r="K28" s="120"/>
      <c r="L28" s="120"/>
      <c r="M28" s="284"/>
      <c r="N28" s="265"/>
      <c r="O28" s="131"/>
    </row>
    <row r="29" spans="1:15" ht="15">
      <c r="A29" s="2"/>
      <c r="B29" s="106" t="str">
        <f>BDI!A17</f>
        <v>Nome legível do responsável técnico pela elaboração da planilha Állan Felipe da Silva Pereira  CREA - MG 201.236/D</v>
      </c>
      <c r="C29" s="105"/>
      <c r="D29" s="105"/>
      <c r="E29" s="103"/>
      <c r="F29" s="102"/>
      <c r="G29" s="184"/>
      <c r="H29" s="184"/>
      <c r="I29" s="14"/>
      <c r="J29" s="120"/>
      <c r="K29" s="120"/>
      <c r="L29" s="120"/>
      <c r="M29" s="284"/>
      <c r="N29" s="265"/>
      <c r="O29" s="131"/>
    </row>
    <row r="30" spans="1:15" ht="15">
      <c r="A30" s="2"/>
      <c r="B30" s="106"/>
      <c r="C30" s="105"/>
      <c r="D30" s="105"/>
      <c r="E30" s="103"/>
      <c r="F30" s="102"/>
      <c r="G30" s="184"/>
      <c r="H30" s="184"/>
      <c r="I30" s="14"/>
      <c r="J30" s="120"/>
      <c r="K30" s="120"/>
      <c r="L30" s="120">
        <f>158.78*574.59</f>
        <v>91233.4002</v>
      </c>
      <c r="M30" s="284"/>
      <c r="N30" s="265"/>
      <c r="O30" s="131"/>
    </row>
    <row r="31" spans="1:15" ht="15">
      <c r="A31" s="2"/>
      <c r="B31" s="105"/>
      <c r="C31" s="105"/>
      <c r="D31" s="105"/>
      <c r="E31" s="105"/>
      <c r="F31" s="104"/>
      <c r="G31" s="105"/>
      <c r="H31" s="105"/>
      <c r="I31" s="106"/>
      <c r="J31" s="106"/>
      <c r="K31" s="106"/>
      <c r="L31" s="106"/>
      <c r="M31" s="285"/>
      <c r="N31" s="266"/>
      <c r="O31" s="131"/>
    </row>
    <row r="32" spans="1:15" ht="15">
      <c r="A32" s="2"/>
      <c r="B32" s="106" t="str">
        <f>BDI!A20</f>
        <v>Assinatura do Responsável Técnico: ______________________________________________ Local e Data:  Pains 13 de Março de 2020</v>
      </c>
      <c r="C32" s="115"/>
      <c r="D32" s="115"/>
      <c r="E32" s="103"/>
      <c r="F32" s="102"/>
      <c r="G32" s="184"/>
      <c r="H32" s="184"/>
      <c r="I32" s="14"/>
      <c r="J32" s="14"/>
      <c r="K32" s="14"/>
      <c r="L32" s="14"/>
      <c r="M32" s="278"/>
      <c r="N32" s="259"/>
      <c r="O32" s="131"/>
    </row>
    <row r="33" spans="1:15" ht="15">
      <c r="A33" s="2"/>
      <c r="B33" s="115"/>
      <c r="C33" s="108"/>
      <c r="D33" s="108"/>
      <c r="E33" s="108"/>
      <c r="F33" s="107"/>
      <c r="G33" s="108"/>
      <c r="H33" s="108"/>
      <c r="I33" s="109"/>
      <c r="J33" s="109"/>
      <c r="K33" s="109"/>
      <c r="L33" s="109"/>
      <c r="M33" s="286"/>
      <c r="N33" s="267"/>
      <c r="O33" s="131"/>
    </row>
    <row r="34" spans="1:15" ht="15">
      <c r="A34" s="2"/>
      <c r="B34" s="109" t="s">
        <v>9</v>
      </c>
      <c r="C34" s="108"/>
      <c r="D34" s="108"/>
      <c r="E34" s="108"/>
      <c r="F34" s="107"/>
      <c r="G34" s="108"/>
      <c r="H34" s="108"/>
      <c r="I34" s="109"/>
      <c r="J34" s="109"/>
      <c r="K34" s="109"/>
      <c r="L34" s="109"/>
      <c r="M34" s="286"/>
      <c r="N34" s="267"/>
      <c r="O34" s="131"/>
    </row>
    <row r="35" spans="1:15" ht="15">
      <c r="A35" s="2"/>
      <c r="B35" s="109" t="s">
        <v>10</v>
      </c>
      <c r="C35" s="103"/>
      <c r="D35" s="103"/>
      <c r="E35" s="103"/>
      <c r="F35" s="102"/>
      <c r="G35" s="184"/>
      <c r="H35" s="184"/>
      <c r="I35" s="14"/>
      <c r="J35" s="14"/>
      <c r="K35" s="14"/>
      <c r="L35" s="14"/>
      <c r="M35" s="278"/>
      <c r="N35" s="259"/>
      <c r="O35" s="131"/>
    </row>
    <row r="36" spans="1:15" ht="15">
      <c r="A36" s="3"/>
      <c r="B36" s="111"/>
      <c r="C36" s="111"/>
      <c r="D36" s="111"/>
      <c r="E36" s="111"/>
      <c r="F36" s="110"/>
      <c r="G36" s="186"/>
      <c r="H36" s="186"/>
      <c r="I36" s="15"/>
      <c r="J36" s="15"/>
      <c r="K36" s="15"/>
      <c r="L36" s="15"/>
      <c r="M36" s="287"/>
      <c r="N36" s="259"/>
      <c r="O36" s="131"/>
    </row>
    <row r="37" spans="2:15" ht="15">
      <c r="B37" s="103"/>
      <c r="O37" s="133"/>
    </row>
    <row r="40" ht="15">
      <c r="L40" s="16">
        <f>((6.22+6.6)*10)/2</f>
        <v>64.1</v>
      </c>
    </row>
    <row r="41" ht="15">
      <c r="L41" s="16">
        <f>7*10</f>
        <v>70</v>
      </c>
    </row>
  </sheetData>
  <sheetProtection/>
  <mergeCells count="34">
    <mergeCell ref="D20:E20"/>
    <mergeCell ref="D21:E21"/>
    <mergeCell ref="D25:E25"/>
    <mergeCell ref="D22:E22"/>
    <mergeCell ref="D23:E23"/>
    <mergeCell ref="D24:E24"/>
    <mergeCell ref="D18:E18"/>
    <mergeCell ref="D19:E19"/>
    <mergeCell ref="B5:D5"/>
    <mergeCell ref="E5:G5"/>
    <mergeCell ref="B6:G6"/>
    <mergeCell ref="B9:B10"/>
    <mergeCell ref="D16:E16"/>
    <mergeCell ref="D13:E13"/>
    <mergeCell ref="P9:P11"/>
    <mergeCell ref="I9:I10"/>
    <mergeCell ref="J9:J10"/>
    <mergeCell ref="D15:E15"/>
    <mergeCell ref="C9:C10"/>
    <mergeCell ref="D9:E10"/>
    <mergeCell ref="D12:E12"/>
    <mergeCell ref="D14:E14"/>
    <mergeCell ref="F9:F10"/>
    <mergeCell ref="D11:E11"/>
    <mergeCell ref="D27:E27"/>
    <mergeCell ref="C1:I1"/>
    <mergeCell ref="C7:G7"/>
    <mergeCell ref="B3:J3"/>
    <mergeCell ref="B2:J2"/>
    <mergeCell ref="I5:J5"/>
    <mergeCell ref="B8:J8"/>
    <mergeCell ref="I6:J6"/>
    <mergeCell ref="D26:E26"/>
    <mergeCell ref="D17:E17"/>
  </mergeCells>
  <printOptions/>
  <pageMargins left="0.91" right="0.5118110236220472" top="0.71" bottom="0.83" header="0.31496062992125984" footer="0.31496062992125984"/>
  <pageSetup horizontalDpi="600" verticalDpi="600" orientation="landscape" paperSize="9" scale="75" r:id="rId2"/>
  <rowBreaks count="1" manualBreakCount="1">
    <brk id="21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SheetLayoutView="115" workbookViewId="0" topLeftCell="B19">
      <selection activeCell="E19" sqref="E19"/>
    </sheetView>
  </sheetViews>
  <sheetFormatPr defaultColWidth="9.140625" defaultRowHeight="15"/>
  <cols>
    <col min="1" max="1" width="9.28125" style="0" bestFit="1" customWidth="1"/>
    <col min="2" max="2" width="61.8515625" style="0" customWidth="1"/>
    <col min="5" max="6" width="9.28125" style="0" bestFit="1" customWidth="1"/>
    <col min="7" max="7" width="14.7109375" style="0" customWidth="1"/>
    <col min="8" max="8" width="12.57421875" style="0" customWidth="1"/>
    <col min="9" max="9" width="9.140625" style="0" customWidth="1"/>
    <col min="11" max="11" width="9.28125" style="0" bestFit="1" customWidth="1"/>
    <col min="13" max="13" width="14.8515625" style="0" customWidth="1"/>
    <col min="14" max="14" width="9.28125" style="0" bestFit="1" customWidth="1"/>
    <col min="15" max="15" width="13.7109375" style="0" customWidth="1"/>
    <col min="17" max="17" width="10.28125" style="0" bestFit="1" customWidth="1"/>
  </cols>
  <sheetData>
    <row r="1" spans="1:15" ht="1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0.25">
      <c r="A2" s="85"/>
      <c r="B2" s="90"/>
      <c r="C2" s="317" t="s">
        <v>152</v>
      </c>
      <c r="D2" s="390"/>
      <c r="E2" s="390"/>
      <c r="F2" s="390"/>
      <c r="G2" s="390"/>
      <c r="H2" s="390"/>
      <c r="I2" s="390"/>
      <c r="J2" s="390"/>
      <c r="K2" s="90"/>
      <c r="L2" s="90"/>
      <c r="M2" s="1"/>
      <c r="N2" s="1"/>
      <c r="O2" s="86"/>
    </row>
    <row r="3" spans="1:15" ht="20.25">
      <c r="A3" s="85"/>
      <c r="B3" s="90"/>
      <c r="C3" s="390"/>
      <c r="D3" s="390"/>
      <c r="E3" s="390"/>
      <c r="F3" s="390"/>
      <c r="G3" s="390"/>
      <c r="H3" s="390"/>
      <c r="I3" s="390"/>
      <c r="J3" s="390"/>
      <c r="K3" s="90"/>
      <c r="L3" s="90"/>
      <c r="M3" s="1"/>
      <c r="N3" s="1"/>
      <c r="O3" s="86"/>
    </row>
    <row r="4" spans="1:15" ht="15">
      <c r="A4" s="85"/>
      <c r="B4" s="1"/>
      <c r="C4" s="390"/>
      <c r="D4" s="390"/>
      <c r="E4" s="390"/>
      <c r="F4" s="390"/>
      <c r="G4" s="390"/>
      <c r="H4" s="390"/>
      <c r="I4" s="390"/>
      <c r="J4" s="390"/>
      <c r="K4" s="1"/>
      <c r="L4" s="1"/>
      <c r="M4" s="1"/>
      <c r="N4" s="1"/>
      <c r="O4" s="86"/>
    </row>
    <row r="5" spans="1:15" ht="15">
      <c r="A5" s="85"/>
      <c r="B5" s="1"/>
      <c r="C5" s="390"/>
      <c r="D5" s="390"/>
      <c r="E5" s="390"/>
      <c r="F5" s="390"/>
      <c r="G5" s="390"/>
      <c r="H5" s="390"/>
      <c r="I5" s="390"/>
      <c r="J5" s="390"/>
      <c r="K5" s="1"/>
      <c r="L5" s="1"/>
      <c r="M5" s="1"/>
      <c r="N5" s="1"/>
      <c r="O5" s="86"/>
    </row>
    <row r="6" spans="1:15" ht="15">
      <c r="A6" s="309"/>
      <c r="B6" s="310"/>
      <c r="C6" s="390"/>
      <c r="D6" s="390"/>
      <c r="E6" s="390"/>
      <c r="F6" s="390"/>
      <c r="G6" s="390"/>
      <c r="H6" s="390"/>
      <c r="I6" s="390"/>
      <c r="J6" s="390"/>
      <c r="K6" s="310"/>
      <c r="L6" s="310"/>
      <c r="M6" s="310"/>
      <c r="N6" s="310"/>
      <c r="O6" s="311"/>
    </row>
    <row r="7" spans="1:15" ht="15.75" thickBot="1">
      <c r="A7" s="99"/>
      <c r="B7" s="100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101"/>
    </row>
    <row r="8" spans="1:15" ht="15" customHeight="1">
      <c r="A8" s="21"/>
      <c r="B8" s="391" t="s">
        <v>156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94"/>
      <c r="O8" s="95"/>
    </row>
    <row r="9" spans="1:15" ht="15">
      <c r="A9" s="21"/>
      <c r="B9" s="97" t="str">
        <f>'[1]RELAÇÃO DE RUAS'!B5</f>
        <v>Município: Pains</v>
      </c>
      <c r="C9" s="98"/>
      <c r="D9" s="98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</row>
    <row r="10" spans="1:15" ht="15.75" thickBot="1">
      <c r="A10" s="20"/>
      <c r="B10" s="1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ht="18.75" thickBot="1">
      <c r="A11" s="385" t="s">
        <v>55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7"/>
    </row>
    <row r="12" spans="1:15" ht="15">
      <c r="A12" s="17"/>
      <c r="B12" s="1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</row>
    <row r="13" spans="1:15" ht="40.5" customHeight="1" thickBot="1">
      <c r="A13" s="22" t="s">
        <v>2</v>
      </c>
      <c r="B13" s="394" t="s">
        <v>56</v>
      </c>
      <c r="C13" s="395"/>
      <c r="D13" s="53" t="s">
        <v>5</v>
      </c>
      <c r="E13" s="53" t="s">
        <v>57</v>
      </c>
      <c r="F13" s="53" t="s">
        <v>58</v>
      </c>
      <c r="G13" s="53" t="s">
        <v>59</v>
      </c>
      <c r="H13" s="53" t="s">
        <v>60</v>
      </c>
      <c r="I13" s="53" t="s">
        <v>44</v>
      </c>
      <c r="J13" s="53" t="s">
        <v>61</v>
      </c>
      <c r="K13" s="53" t="s">
        <v>62</v>
      </c>
      <c r="L13" s="53" t="s">
        <v>63</v>
      </c>
      <c r="M13" s="53" t="s">
        <v>64</v>
      </c>
      <c r="N13" s="53" t="s">
        <v>65</v>
      </c>
      <c r="O13" s="54" t="s">
        <v>66</v>
      </c>
    </row>
    <row r="14" spans="1:15" ht="18" customHeight="1" thickBot="1">
      <c r="A14" s="55" t="s">
        <v>120</v>
      </c>
      <c r="B14" s="388" t="s">
        <v>16</v>
      </c>
      <c r="C14" s="38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1:15" ht="103.5" customHeight="1" thickBot="1">
      <c r="A15" s="207" t="s">
        <v>22</v>
      </c>
      <c r="B15" s="383" t="str">
        <f>'Planilha Orçamentaria'!D$12</f>
        <v>FORNECIMENTO E COLOCAÇÃO DE PLACA DE OBRA EM CHAPA 
GALVANIZADA (3,00 X 1,50 M) - EM CHAPA GALVANIZADA 0,26 AFIXADAS COM REBITES 540 E PARAFUSOS 3/8, EM ESTRUTURA METÁLICA VIGA U 2" ENRIJECIDA COM METALON 20 X 20, SUPORTE EM EUCALIPTO AUTOCLAVADO PINTADAS NE FRENTE E NO VERSO COM FUNDO NTICORROSIVO E TINTA AUTOMOTIVA. (FRENTE: PINTURA AUTOMOTIVA FUNDO AZUL, TEXTO: PLOTTER DE RECORTE PELÍCULA BRANCA E PARTE INFERIOR: APLICAÇÃO DAS MARCAS EM COR CONFORME MANUAL DE IDENTIDADE VISUAL DO GOVERNO DE MINAS</v>
      </c>
      <c r="C15" s="384"/>
      <c r="D15" s="58" t="str">
        <f>'Planilha Orçamentaria'!G12</f>
        <v>UN</v>
      </c>
      <c r="E15" s="58">
        <v>3</v>
      </c>
      <c r="F15" s="59">
        <v>1.5</v>
      </c>
      <c r="G15" s="59">
        <f>E15*F15</f>
        <v>4.5</v>
      </c>
      <c r="H15" s="59"/>
      <c r="I15" s="60">
        <v>1</v>
      </c>
      <c r="J15" s="59"/>
      <c r="K15" s="59"/>
      <c r="L15" s="59"/>
      <c r="M15" s="59"/>
      <c r="N15" s="59"/>
      <c r="O15" s="61"/>
    </row>
    <row r="16" spans="1:15" ht="17.25" customHeight="1" thickBot="1">
      <c r="A16" s="55" t="s">
        <v>119</v>
      </c>
      <c r="B16" s="388" t="s">
        <v>19</v>
      </c>
      <c r="C16" s="389"/>
      <c r="D16" s="58"/>
      <c r="E16" s="58"/>
      <c r="F16" s="59"/>
      <c r="G16" s="59"/>
      <c r="H16" s="59"/>
      <c r="I16" s="59"/>
      <c r="J16" s="62"/>
      <c r="K16" s="59"/>
      <c r="L16" s="59"/>
      <c r="M16" s="59"/>
      <c r="N16" s="59"/>
      <c r="O16" s="61"/>
    </row>
    <row r="17" spans="1:15" ht="15" customHeight="1" thickBot="1">
      <c r="A17" s="207" t="s">
        <v>23</v>
      </c>
      <c r="B17" s="383" t="str">
        <f>'Planilha Orçamentaria'!D15</f>
        <v>LOCAÇÃO TOPOGRÁFICA ATE 20 PONTOS U</v>
      </c>
      <c r="C17" s="384"/>
      <c r="D17" s="58" t="str">
        <f>'Planilha Orçamentaria'!G15</f>
        <v>PT</v>
      </c>
      <c r="E17" s="58"/>
      <c r="F17" s="59"/>
      <c r="G17" s="59"/>
      <c r="H17" s="59"/>
      <c r="I17" s="60">
        <v>20</v>
      </c>
      <c r="J17" s="62"/>
      <c r="K17" s="59"/>
      <c r="L17" s="59"/>
      <c r="M17" s="59"/>
      <c r="N17" s="59"/>
      <c r="O17" s="61"/>
    </row>
    <row r="18" spans="1:15" ht="26.25" customHeight="1" thickBot="1">
      <c r="A18" s="207" t="s">
        <v>145</v>
      </c>
      <c r="B18" s="383" t="str">
        <f>'Planilha Orçamentaria'!D16</f>
        <v>ALVENARIAPOLIÉDRICA,RETIRADAEREASSENTAMENTOSOBRECOXIM DE AREIA</v>
      </c>
      <c r="C18" s="384"/>
      <c r="D18" s="58" t="s">
        <v>21</v>
      </c>
      <c r="E18" s="59">
        <v>1.01889</v>
      </c>
      <c r="F18" s="59">
        <v>21</v>
      </c>
      <c r="G18" s="60">
        <f>F18*E18</f>
        <v>21.396690000000003</v>
      </c>
      <c r="H18" s="59"/>
      <c r="I18" s="59"/>
      <c r="J18" s="59"/>
      <c r="K18" s="36"/>
      <c r="L18" s="36"/>
      <c r="M18" s="59"/>
      <c r="N18" s="36"/>
      <c r="O18" s="61"/>
    </row>
    <row r="19" spans="1:15" ht="17.25" customHeight="1" thickBot="1">
      <c r="A19" s="55">
        <v>3</v>
      </c>
      <c r="B19" s="388" t="s">
        <v>117</v>
      </c>
      <c r="C19" s="389"/>
      <c r="D19" s="58"/>
      <c r="E19" s="58"/>
      <c r="F19" s="59"/>
      <c r="G19" s="59"/>
      <c r="H19" s="59"/>
      <c r="I19" s="59"/>
      <c r="J19" s="59"/>
      <c r="K19" s="62"/>
      <c r="L19" s="59"/>
      <c r="M19" s="59"/>
      <c r="N19" s="59"/>
      <c r="O19" s="61"/>
    </row>
    <row r="20" spans="1:15" ht="26.25" customHeight="1" thickBot="1">
      <c r="A20" s="63" t="s">
        <v>115</v>
      </c>
      <c r="B20" s="383" t="str">
        <f>'Planilha Orçamentaria'!D20</f>
        <v>TRANSPORTE DE MATERIAL DE QUALQUER NATUREZA. DISTÂNCIA
MÉDIA DE TRANSPORTE DE 25,10 A 30,00 KM </v>
      </c>
      <c r="C20" s="384"/>
      <c r="D20" s="58" t="str">
        <f>'Planilha Orçamentaria'!G20</f>
        <v>Txkm</v>
      </c>
      <c r="E20" s="58"/>
      <c r="F20" s="59"/>
      <c r="G20" s="59">
        <f>G21+G22</f>
        <v>4194.202499999999</v>
      </c>
      <c r="H20" s="59"/>
      <c r="I20" s="59"/>
      <c r="J20" s="59"/>
      <c r="K20" s="59">
        <f>G20*L20</f>
        <v>16.776809999999998</v>
      </c>
      <c r="L20" s="314">
        <v>0.004</v>
      </c>
      <c r="M20" s="59"/>
      <c r="N20" s="59">
        <v>30</v>
      </c>
      <c r="O20" s="209">
        <f>K20*N20</f>
        <v>503.3042999999999</v>
      </c>
    </row>
    <row r="21" spans="1:15" ht="28.5" customHeight="1" thickBot="1">
      <c r="A21" s="63" t="s">
        <v>122</v>
      </c>
      <c r="B21" s="383" t="str">
        <f>'Planilha Orçamentaria'!D21</f>
        <v>IMPRIMAÇÃO (EXECUÇÃO E FORNECIMENTODO MATERIAL BETUMINOSO,  EXCLUSIVE TRANSPORTE DO MATERIAL BETUMINOSO)</v>
      </c>
      <c r="C21" s="384"/>
      <c r="D21" s="58" t="str">
        <f>'Planilha Orçamentaria'!G21</f>
        <v>M2</v>
      </c>
      <c r="E21" s="58"/>
      <c r="F21" s="59"/>
      <c r="G21" s="60">
        <f>'Memoria '!G31</f>
        <v>2097.1012499999997</v>
      </c>
      <c r="H21" s="59"/>
      <c r="I21" s="59"/>
      <c r="J21" s="59"/>
      <c r="K21" s="59"/>
      <c r="L21" s="59"/>
      <c r="M21" s="59"/>
      <c r="N21" s="59"/>
      <c r="O21" s="59"/>
    </row>
    <row r="22" spans="1:15" ht="32.25" customHeight="1" thickBot="1">
      <c r="A22" s="63" t="s">
        <v>123</v>
      </c>
      <c r="B22" s="383" t="str">
        <f>'Planilha Orçamentaria'!D22</f>
        <v>PINTURA DE LIGAÇÃO (EXECUÇÃO E FORNECIMENTO DO MATERIAL BETUMINOSO, EXCLUSIVE TRANSPORTE DO MATERIAL BETUMINOSO)</v>
      </c>
      <c r="C22" s="384"/>
      <c r="D22" s="58" t="s">
        <v>21</v>
      </c>
      <c r="E22" s="58"/>
      <c r="F22" s="59"/>
      <c r="G22" s="60">
        <f>'Memoria '!G31</f>
        <v>2097.1012499999997</v>
      </c>
      <c r="H22" s="59"/>
      <c r="I22" s="59"/>
      <c r="J22" s="59"/>
      <c r="K22" s="59"/>
      <c r="L22" s="59"/>
      <c r="M22" s="59"/>
      <c r="N22" s="59"/>
      <c r="O22" s="61"/>
    </row>
    <row r="23" spans="1:15" ht="70.5" customHeight="1" thickBot="1">
      <c r="A23" s="63" t="s">
        <v>124</v>
      </c>
      <c r="B23" s="383" t="str">
        <f>'Planilha Orçamentaria'!D23</f>
        <v>CONCRETO BETUMINOSO USINADO  A QUENTE CBUQ (EXECUÇÃO, INCLUINDO USINAGEM, APLICAÇÃO, ESPALHAMENTO  ECOMPACTAÇÃO, FORNECIMENTO DO AGREGADOS E MATERIAL BETUMINOSO, EXCLUI TRANSPORTE DOS AGREGADOS E DO MATERIAL BETUMINOSO ATÉ USINA E DAMASSA PRONTA ATÉ APISTA)</v>
      </c>
      <c r="C23" s="384"/>
      <c r="D23" s="58" t="str">
        <f>'Planilha Orçamentaria'!G23</f>
        <v>M3</v>
      </c>
      <c r="E23" s="58"/>
      <c r="F23" s="59"/>
      <c r="G23" s="59">
        <f>G22</f>
        <v>2097.1012499999997</v>
      </c>
      <c r="H23" s="59">
        <v>0.01</v>
      </c>
      <c r="I23" s="59"/>
      <c r="J23" s="59"/>
      <c r="K23" s="60">
        <f>G23*H23</f>
        <v>20.971012499999997</v>
      </c>
      <c r="L23" s="59"/>
      <c r="M23" s="59"/>
      <c r="N23" s="59"/>
      <c r="O23" s="61"/>
    </row>
    <row r="24" spans="1:15" ht="66.75" customHeight="1" thickBot="1">
      <c r="A24" s="63" t="s">
        <v>125</v>
      </c>
      <c r="B24" s="383" t="str">
        <f>'Planilha Orçamentaria'!D24</f>
        <v>CONCRETO BETUMINOSO USINADO A QUENTE CBUQ (EXECUÇÃO, INCLUINDOUSINAGEM, APLICAÇÃO, ESPALHAMENTO E COMPACTAÇÃO, FORNECIMENTODOS AGREGADOSE MATERIAL BETUMINOSO, EXCLUI TRANSPORTEDOS AGREGADOS E DO MATERIAL BETUMINOSO ATÉ USINA E DA MASSA PRONTA ATÉ A PISTA)</v>
      </c>
      <c r="C24" s="384"/>
      <c r="D24" s="58" t="str">
        <f>'Planilha Orçamentaria'!G24</f>
        <v>M3</v>
      </c>
      <c r="E24" s="58"/>
      <c r="F24" s="59"/>
      <c r="G24" s="59">
        <f>G23</f>
        <v>2097.1012499999997</v>
      </c>
      <c r="H24" s="59">
        <v>0.03</v>
      </c>
      <c r="I24" s="59"/>
      <c r="J24" s="59"/>
      <c r="K24" s="60">
        <f>G24*H24</f>
        <v>62.91303749999999</v>
      </c>
      <c r="L24" s="59"/>
      <c r="M24" s="59"/>
      <c r="N24" s="59"/>
      <c r="O24" s="61"/>
    </row>
    <row r="25" spans="1:15" ht="28.5" customHeight="1" thickBot="1">
      <c r="A25" s="63" t="s">
        <v>126</v>
      </c>
      <c r="B25" s="383" t="str">
        <f>'Planilha Orçamentaria'!D25</f>
        <v>TRANSPORTE DE CONCRETO BETUMINOSO USINADO A QUENTE.
DISTÂNCIA MÉDIA DE TRANSPORTE DE 25,10 A 30,00 KM (DENSIDADE DE MATERIAL SOLTO)
 </v>
      </c>
      <c r="C25" s="384"/>
      <c r="D25" s="58" t="s">
        <v>32</v>
      </c>
      <c r="E25" s="252"/>
      <c r="F25" s="253"/>
      <c r="G25" s="253"/>
      <c r="H25" s="253"/>
      <c r="I25" s="253"/>
      <c r="J25" s="253"/>
      <c r="K25" s="253">
        <f>(K24+K23)</f>
        <v>83.88404999999999</v>
      </c>
      <c r="L25" s="253"/>
      <c r="M25" s="253"/>
      <c r="N25" s="253">
        <v>30</v>
      </c>
      <c r="O25" s="254">
        <f>K25*N25</f>
        <v>2516.5215</v>
      </c>
    </row>
    <row r="26" spans="1:15" ht="15" customHeight="1" thickBot="1">
      <c r="A26" s="251"/>
      <c r="B26" s="231"/>
      <c r="C26" s="232"/>
      <c r="D26" s="176"/>
      <c r="E26" s="176"/>
      <c r="F26" s="177"/>
      <c r="G26" s="177"/>
      <c r="H26" s="177"/>
      <c r="I26" s="177"/>
      <c r="J26" s="177"/>
      <c r="K26" s="177"/>
      <c r="L26" s="177"/>
      <c r="M26" s="177"/>
      <c r="N26" s="177"/>
      <c r="O26" s="178"/>
    </row>
    <row r="27" spans="1:15" ht="18.75" customHeight="1" hidden="1" thickBot="1">
      <c r="A27" s="247" t="s">
        <v>108</v>
      </c>
      <c r="B27" s="392" t="s">
        <v>43</v>
      </c>
      <c r="C27" s="393"/>
      <c r="D27" s="248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0"/>
    </row>
    <row r="28" spans="1:15" ht="18.75" customHeight="1" hidden="1" thickBot="1">
      <c r="A28" s="63" t="s">
        <v>109</v>
      </c>
      <c r="B28" s="383" t="s">
        <v>40</v>
      </c>
      <c r="C28" s="384"/>
      <c r="D28" s="58" t="e">
        <f>'Planilha Orçamentaria'!#REF!</f>
        <v>#REF!</v>
      </c>
      <c r="E28" s="59"/>
      <c r="F28" s="59"/>
      <c r="G28" s="65">
        <v>0</v>
      </c>
      <c r="H28" s="59"/>
      <c r="I28" s="59"/>
      <c r="J28" s="59"/>
      <c r="K28" s="59"/>
      <c r="L28" s="59"/>
      <c r="M28" s="59"/>
      <c r="N28" s="59"/>
      <c r="O28" s="61"/>
    </row>
    <row r="29" spans="1:15" ht="66.75" customHeight="1" hidden="1" thickBot="1">
      <c r="A29" s="63" t="s">
        <v>110</v>
      </c>
      <c r="B29" s="383" t="s">
        <v>41</v>
      </c>
      <c r="C29" s="384"/>
      <c r="D29" s="58" t="e">
        <f>'Planilha Orçamentaria'!#REF!</f>
        <v>#REF!</v>
      </c>
      <c r="E29" s="59"/>
      <c r="F29" s="59"/>
      <c r="G29" s="65">
        <v>0</v>
      </c>
      <c r="H29" s="59"/>
      <c r="I29" s="59"/>
      <c r="J29" s="59"/>
      <c r="K29" s="59"/>
      <c r="L29" s="59"/>
      <c r="M29" s="59"/>
      <c r="N29" s="59"/>
      <c r="O29" s="61"/>
    </row>
    <row r="30" spans="1:15" ht="37.5" customHeight="1" hidden="1" thickBot="1">
      <c r="A30" s="63" t="s">
        <v>111</v>
      </c>
      <c r="B30" s="383" t="s">
        <v>42</v>
      </c>
      <c r="C30" s="384"/>
      <c r="D30" s="58" t="e">
        <f>'Planilha Orçamentaria'!#REF!</f>
        <v>#REF!</v>
      </c>
      <c r="E30" s="59"/>
      <c r="F30" s="59"/>
      <c r="G30" s="65">
        <v>0</v>
      </c>
      <c r="H30" s="59"/>
      <c r="I30" s="59"/>
      <c r="J30" s="59"/>
      <c r="K30" s="59"/>
      <c r="L30" s="59"/>
      <c r="M30" s="59"/>
      <c r="N30" s="59"/>
      <c r="O30" s="61"/>
    </row>
    <row r="31" spans="1:15" ht="15.75" hidden="1" thickBot="1">
      <c r="A31" s="64" t="s">
        <v>118</v>
      </c>
      <c r="B31" s="388" t="s">
        <v>38</v>
      </c>
      <c r="C31" s="389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</row>
    <row r="32" spans="1:15" ht="15.75" hidden="1" thickBot="1">
      <c r="A32" s="63" t="s">
        <v>45</v>
      </c>
      <c r="B32" s="383" t="s">
        <v>39</v>
      </c>
      <c r="C32" s="384"/>
      <c r="D32" s="58" t="e">
        <f>'Planilha Orçamentaria'!#REF!</f>
        <v>#REF!</v>
      </c>
      <c r="E32" s="59"/>
      <c r="F32" s="59"/>
      <c r="G32" s="60">
        <f>SUM('Relação de Ruas'!H14:H19)+SUM('Relação de Ruas'!K21:K24)+'Relação de Ruas'!I25</f>
        <v>2113.63</v>
      </c>
      <c r="H32" s="59"/>
      <c r="I32" s="59"/>
      <c r="J32" s="59"/>
      <c r="K32" s="59"/>
      <c r="L32" s="59"/>
      <c r="M32" s="59"/>
      <c r="N32" s="59"/>
      <c r="O32" s="61"/>
    </row>
    <row r="33" spans="1:15" ht="15.75" customHeight="1" hidden="1" thickBot="1">
      <c r="A33" s="175"/>
      <c r="B33" s="381"/>
      <c r="C33" s="382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8"/>
    </row>
    <row r="34" spans="3:15" ht="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 ht="15">
      <c r="B35" t="str">
        <f>BDI!A17</f>
        <v>Nome legível do responsável técnico pela elaboração da planilha Állan Felipe da Silva Pereira  CREA - MG 201.236/D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7" spans="2:9" ht="15">
      <c r="B37" s="302" t="str">
        <f>BDI!A20</f>
        <v>Assinatura do Responsável Técnico: ______________________________________________ Local e Data:  Pains 13 de Março de 2020</v>
      </c>
      <c r="C37" s="49"/>
      <c r="D37" s="49"/>
      <c r="E37" s="303"/>
      <c r="F37" s="304"/>
      <c r="G37" s="50"/>
      <c r="H37" s="50"/>
      <c r="I37" s="1"/>
    </row>
    <row r="38" spans="5:8" ht="15">
      <c r="E38" s="1"/>
      <c r="F38" s="1"/>
      <c r="G38" s="1"/>
      <c r="H38" s="1"/>
    </row>
  </sheetData>
  <sheetProtection/>
  <mergeCells count="23">
    <mergeCell ref="C2:J6"/>
    <mergeCell ref="B16:C16"/>
    <mergeCell ref="B8:M8"/>
    <mergeCell ref="B27:C27"/>
    <mergeCell ref="B13:C13"/>
    <mergeCell ref="B28:C28"/>
    <mergeCell ref="B29:C29"/>
    <mergeCell ref="B30:C30"/>
    <mergeCell ref="B15:C15"/>
    <mergeCell ref="B23:C23"/>
    <mergeCell ref="B21:C21"/>
    <mergeCell ref="B22:C22"/>
    <mergeCell ref="B24:C24"/>
    <mergeCell ref="B33:C33"/>
    <mergeCell ref="B32:C32"/>
    <mergeCell ref="B25:C25"/>
    <mergeCell ref="B18:C18"/>
    <mergeCell ref="A11:O11"/>
    <mergeCell ref="B14:C14"/>
    <mergeCell ref="B17:C17"/>
    <mergeCell ref="B31:C31"/>
    <mergeCell ref="B19:C19"/>
    <mergeCell ref="B20:C20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PageLayoutView="0" workbookViewId="0" topLeftCell="A14">
      <selection activeCell="H36" sqref="H36"/>
    </sheetView>
  </sheetViews>
  <sheetFormatPr defaultColWidth="9.140625" defaultRowHeight="15"/>
  <cols>
    <col min="1" max="1" width="9.140625" style="0" customWidth="1"/>
    <col min="2" max="2" width="35.8515625" style="0" customWidth="1"/>
    <col min="3" max="3" width="22.00390625" style="0" customWidth="1"/>
    <col min="4" max="5" width="17.140625" style="0" customWidth="1"/>
    <col min="6" max="6" width="15.140625" style="0" customWidth="1"/>
    <col min="7" max="7" width="17.28125" style="0" customWidth="1"/>
    <col min="8" max="8" width="12.00390625" style="0" customWidth="1"/>
  </cols>
  <sheetData>
    <row r="1" spans="1:8" ht="15">
      <c r="A1" s="82"/>
      <c r="B1" s="83"/>
      <c r="C1" s="83"/>
      <c r="D1" s="83"/>
      <c r="E1" s="83"/>
      <c r="F1" s="83"/>
      <c r="G1" s="83"/>
      <c r="H1" s="84"/>
    </row>
    <row r="2" spans="1:8" ht="20.25">
      <c r="A2" s="85"/>
      <c r="B2" s="396"/>
      <c r="C2" s="396"/>
      <c r="D2" s="396"/>
      <c r="E2" s="396"/>
      <c r="F2" s="396"/>
      <c r="G2" s="396"/>
      <c r="H2" s="86"/>
    </row>
    <row r="3" spans="1:8" ht="18">
      <c r="A3" s="85"/>
      <c r="B3" s="397"/>
      <c r="C3" s="397"/>
      <c r="D3" s="397"/>
      <c r="E3" s="397"/>
      <c r="F3" s="397"/>
      <c r="G3" s="397"/>
      <c r="H3" s="86"/>
    </row>
    <row r="4" spans="1:8" ht="18">
      <c r="A4" s="85"/>
      <c r="B4" s="290"/>
      <c r="C4" s="290"/>
      <c r="D4" s="290"/>
      <c r="E4" s="290"/>
      <c r="F4" s="290"/>
      <c r="G4" s="290"/>
      <c r="H4" s="86"/>
    </row>
    <row r="5" spans="1:8" ht="18">
      <c r="A5" s="85"/>
      <c r="B5" s="290"/>
      <c r="C5" s="290"/>
      <c r="D5" s="290"/>
      <c r="E5" s="290"/>
      <c r="F5" s="290"/>
      <c r="G5" s="290"/>
      <c r="H5" s="86"/>
    </row>
    <row r="6" spans="1:8" ht="15">
      <c r="A6" s="85"/>
      <c r="B6" s="1"/>
      <c r="C6" s="1"/>
      <c r="D6" s="1"/>
      <c r="E6" s="1"/>
      <c r="F6" s="1"/>
      <c r="G6" s="1"/>
      <c r="H6" s="86"/>
    </row>
    <row r="7" spans="1:8" ht="21" thickBot="1">
      <c r="A7" s="87"/>
      <c r="B7" s="403"/>
      <c r="C7" s="403"/>
      <c r="D7" s="403"/>
      <c r="E7" s="403"/>
      <c r="F7" s="403"/>
      <c r="G7" s="403"/>
      <c r="H7" s="88"/>
    </row>
    <row r="8" spans="1:8" ht="15.75">
      <c r="A8" s="82"/>
      <c r="B8" s="404" t="s">
        <v>24</v>
      </c>
      <c r="C8" s="405"/>
      <c r="D8" s="405"/>
      <c r="E8" s="405"/>
      <c r="F8" s="405"/>
      <c r="G8" s="406"/>
      <c r="H8" s="84"/>
    </row>
    <row r="9" spans="1:8" ht="15.75" thickBot="1">
      <c r="A9" s="85"/>
      <c r="B9" s="85"/>
      <c r="C9" s="1"/>
      <c r="D9" s="1"/>
      <c r="E9" s="1"/>
      <c r="F9" s="1"/>
      <c r="G9" s="86"/>
      <c r="H9" s="86"/>
    </row>
    <row r="10" spans="1:8" ht="15.75" customHeight="1" thickBot="1">
      <c r="A10" s="85"/>
      <c r="B10" s="410" t="s">
        <v>87</v>
      </c>
      <c r="C10" s="411"/>
      <c r="D10" s="411"/>
      <c r="E10" s="411"/>
      <c r="F10" s="411"/>
      <c r="G10" s="312" t="s">
        <v>88</v>
      </c>
      <c r="H10" s="86"/>
    </row>
    <row r="11" spans="1:8" ht="15.75" thickBot="1">
      <c r="A11" s="85"/>
      <c r="B11" s="407" t="s">
        <v>155</v>
      </c>
      <c r="C11" s="408"/>
      <c r="D11" s="408"/>
      <c r="E11" s="408"/>
      <c r="F11" s="408"/>
      <c r="G11" s="409"/>
      <c r="H11" s="86"/>
    </row>
    <row r="12" spans="1:8" ht="15.75" thickBot="1">
      <c r="A12" s="85"/>
      <c r="B12" s="410" t="s">
        <v>154</v>
      </c>
      <c r="C12" s="411"/>
      <c r="D12" s="411"/>
      <c r="E12" s="411"/>
      <c r="F12" s="411"/>
      <c r="G12" s="412"/>
      <c r="H12" s="86"/>
    </row>
    <row r="13" spans="1:8" ht="15.75" thickBot="1">
      <c r="A13" s="85"/>
      <c r="B13" s="5" t="s">
        <v>25</v>
      </c>
      <c r="C13" s="6" t="s">
        <v>26</v>
      </c>
      <c r="D13" s="7" t="s">
        <v>90</v>
      </c>
      <c r="E13" s="7" t="s">
        <v>27</v>
      </c>
      <c r="F13" s="7" t="s">
        <v>28</v>
      </c>
      <c r="G13" s="7" t="s">
        <v>29</v>
      </c>
      <c r="H13" s="86"/>
    </row>
    <row r="14" spans="1:8" ht="15.75" thickBot="1">
      <c r="A14" s="85"/>
      <c r="B14" s="398" t="str">
        <f>'Planilha Orçamentaria'!D11</f>
        <v>INSTALAÇÕES INICIAIS DA OBRA
</v>
      </c>
      <c r="C14" s="8" t="s">
        <v>30</v>
      </c>
      <c r="D14" s="130">
        <f>D15/D23</f>
        <v>0.0134799</v>
      </c>
      <c r="E14" s="9">
        <v>1</v>
      </c>
      <c r="F14" s="9"/>
      <c r="G14" s="10">
        <f>SUM(E14:F14)</f>
        <v>1</v>
      </c>
      <c r="H14" s="86"/>
    </row>
    <row r="15" spans="1:8" ht="15.75" thickBot="1">
      <c r="A15" s="85"/>
      <c r="B15" s="399"/>
      <c r="C15" s="8" t="s">
        <v>31</v>
      </c>
      <c r="D15" s="11">
        <f>'Planilha Orçamentaria'!J11</f>
        <v>1347.99</v>
      </c>
      <c r="E15" s="11">
        <f>E14*$D$15</f>
        <v>1347.99</v>
      </c>
      <c r="F15" s="11">
        <f>F14*$D$15</f>
        <v>0</v>
      </c>
      <c r="G15" s="118">
        <f>E15+F15</f>
        <v>1347.99</v>
      </c>
      <c r="H15" s="86"/>
    </row>
    <row r="16" spans="1:8" ht="21" customHeight="1" thickBot="1">
      <c r="A16" s="85"/>
      <c r="B16" s="400" t="str">
        <f>'Planilha Orçamentaria'!D14</f>
        <v>PREPARO DO TERRENO</v>
      </c>
      <c r="C16" s="8" t="s">
        <v>30</v>
      </c>
      <c r="D16" s="130">
        <f>D17/D23</f>
        <v>0.0212004</v>
      </c>
      <c r="E16" s="9">
        <v>1</v>
      </c>
      <c r="F16" s="9"/>
      <c r="G16" s="10">
        <f>SUM(E16:F16)</f>
        <v>1</v>
      </c>
      <c r="H16" s="86"/>
    </row>
    <row r="17" spans="1:8" ht="15.75" thickBot="1">
      <c r="A17" s="85"/>
      <c r="B17" s="399"/>
      <c r="C17" s="8" t="s">
        <v>31</v>
      </c>
      <c r="D17" s="11">
        <f>'Planilha Orçamentaria'!J14</f>
        <v>2120.04</v>
      </c>
      <c r="E17" s="11">
        <f>E16*$D$17</f>
        <v>2120.04</v>
      </c>
      <c r="F17" s="11">
        <f>F16*$D$17</f>
        <v>0</v>
      </c>
      <c r="G17" s="118">
        <f>E17+F17</f>
        <v>2120.04</v>
      </c>
      <c r="H17" s="86"/>
    </row>
    <row r="18" spans="1:8" ht="15.75" thickBot="1">
      <c r="A18" s="85"/>
      <c r="B18" s="401" t="str">
        <f>'Planilha Orçamentaria'!D18</f>
        <v>OBRAS VIÁRIAS (PAVIMENTAÇÃO DE RUAS RECAPEAMENTO)</v>
      </c>
      <c r="C18" s="8" t="s">
        <v>30</v>
      </c>
      <c r="D18" s="130">
        <f>D19/D23</f>
        <v>0.9653197</v>
      </c>
      <c r="E18" s="9">
        <v>0.5</v>
      </c>
      <c r="F18" s="9">
        <v>0.5</v>
      </c>
      <c r="G18" s="10">
        <f>SUM(E18:F18)</f>
        <v>1</v>
      </c>
      <c r="H18" s="86"/>
    </row>
    <row r="19" spans="1:8" ht="15.75" thickBot="1">
      <c r="A19" s="85"/>
      <c r="B19" s="402"/>
      <c r="C19" s="8" t="s">
        <v>31</v>
      </c>
      <c r="D19" s="11">
        <f>'Planilha Orçamentaria'!J18</f>
        <v>96531.97</v>
      </c>
      <c r="E19" s="11">
        <f>E18*$D$19</f>
        <v>48265.985</v>
      </c>
      <c r="F19" s="11">
        <f>F18*$D$19</f>
        <v>48265.985</v>
      </c>
      <c r="G19" s="118">
        <f>E19+F19</f>
        <v>96531.97</v>
      </c>
      <c r="H19" s="86"/>
    </row>
    <row r="20" spans="1:8" ht="15.75" hidden="1" thickBot="1">
      <c r="A20" s="85"/>
      <c r="B20" s="415" t="s">
        <v>43</v>
      </c>
      <c r="C20" s="8" t="s">
        <v>30</v>
      </c>
      <c r="D20" s="130">
        <f>D21/D23</f>
        <v>0</v>
      </c>
      <c r="E20" s="9"/>
      <c r="F20" s="9"/>
      <c r="G20" s="10">
        <f>SUM(E20:F20)</f>
        <v>0</v>
      </c>
      <c r="H20" s="86"/>
    </row>
    <row r="21" spans="1:8" ht="15.75" hidden="1" thickBot="1">
      <c r="A21" s="85"/>
      <c r="B21" s="416"/>
      <c r="C21" s="8" t="s">
        <v>31</v>
      </c>
      <c r="D21" s="11">
        <v>0</v>
      </c>
      <c r="E21" s="11">
        <f>E20*$D$21</f>
        <v>0</v>
      </c>
      <c r="F21" s="11">
        <f>F20*$D$21</f>
        <v>0</v>
      </c>
      <c r="G21" s="118" t="e">
        <f>E21+F21+#REF!+#REF!+#REF!</f>
        <v>#REF!</v>
      </c>
      <c r="H21" s="86"/>
    </row>
    <row r="22" spans="1:8" ht="15.75" thickBot="1">
      <c r="A22" s="85"/>
      <c r="B22" s="413" t="s">
        <v>8</v>
      </c>
      <c r="C22" s="7" t="s">
        <v>30</v>
      </c>
      <c r="D22" s="12">
        <f>D18+D16+D14</f>
        <v>1</v>
      </c>
      <c r="E22" s="12">
        <f>E23/$D$23</f>
        <v>0.51734015</v>
      </c>
      <c r="F22" s="212">
        <f>F23/$D$23</f>
        <v>0.48265985</v>
      </c>
      <c r="G22" s="12">
        <f>G23/$D$23</f>
        <v>1</v>
      </c>
      <c r="H22" s="86"/>
    </row>
    <row r="23" spans="1:8" ht="15.75" thickBot="1">
      <c r="A23" s="85"/>
      <c r="B23" s="414"/>
      <c r="C23" s="7" t="s">
        <v>31</v>
      </c>
      <c r="D23" s="119">
        <f>D15+D17+D19</f>
        <v>100000</v>
      </c>
      <c r="E23" s="119">
        <f>E15+E17+E19+E21</f>
        <v>51734.015</v>
      </c>
      <c r="F23" s="119">
        <f>F15+F17+F19+F21</f>
        <v>48265.985</v>
      </c>
      <c r="G23" s="118">
        <f>E23+F23</f>
        <v>100000</v>
      </c>
      <c r="H23" s="86"/>
    </row>
    <row r="24" spans="1:8" ht="15">
      <c r="A24" s="85"/>
      <c r="B24" s="83"/>
      <c r="C24" s="1"/>
      <c r="D24" s="1"/>
      <c r="E24" s="1"/>
      <c r="F24" s="1"/>
      <c r="G24" s="1"/>
      <c r="H24" s="86"/>
    </row>
    <row r="25" spans="1:8" ht="15">
      <c r="A25" s="85"/>
      <c r="B25" s="417" t="str">
        <f>BDI!A17</f>
        <v>Nome legível do responsável técnico pela elaboração da planilha Állan Felipe da Silva Pereira  CREA - MG 201.236/D</v>
      </c>
      <c r="C25" s="417"/>
      <c r="D25" s="417"/>
      <c r="E25" s="417"/>
      <c r="F25" s="417"/>
      <c r="G25" s="417"/>
      <c r="H25" s="86"/>
    </row>
    <row r="26" spans="1:8" ht="15">
      <c r="A26" s="85"/>
      <c r="B26" s="210"/>
      <c r="C26" s="210"/>
      <c r="D26" s="210"/>
      <c r="E26" s="210"/>
      <c r="F26" s="210"/>
      <c r="G26" s="210"/>
      <c r="H26" s="86"/>
    </row>
    <row r="27" spans="1:8" ht="15">
      <c r="A27" s="85"/>
      <c r="B27" s="13"/>
      <c r="C27" s="1"/>
      <c r="D27" s="1"/>
      <c r="E27" s="1"/>
      <c r="F27" s="1"/>
      <c r="G27" s="1"/>
      <c r="H27" s="86"/>
    </row>
    <row r="28" spans="1:8" ht="15">
      <c r="A28" s="85"/>
      <c r="B28" s="313" t="str">
        <f>BDI!A20</f>
        <v>Assinatura do Responsável Técnico: ______________________________________________ Local e Data:  Pains 13 de Março de 2020</v>
      </c>
      <c r="C28" s="313"/>
      <c r="D28" s="313"/>
      <c r="E28" s="313"/>
      <c r="F28" s="313"/>
      <c r="G28" s="313"/>
      <c r="H28" s="86"/>
    </row>
    <row r="29" spans="1:8" ht="15">
      <c r="A29" s="85"/>
      <c r="B29" s="1"/>
      <c r="C29" s="1"/>
      <c r="D29" s="1"/>
      <c r="E29" s="1"/>
      <c r="F29" s="1"/>
      <c r="G29" s="1"/>
      <c r="H29" s="86"/>
    </row>
    <row r="30" spans="1:8" ht="15.75" thickBot="1">
      <c r="A30" s="87"/>
      <c r="B30" s="89"/>
      <c r="C30" s="89"/>
      <c r="D30" s="89"/>
      <c r="E30" s="89"/>
      <c r="F30" s="89"/>
      <c r="G30" s="89"/>
      <c r="H30" s="88"/>
    </row>
  </sheetData>
  <sheetProtection/>
  <mergeCells count="13">
    <mergeCell ref="B22:B23"/>
    <mergeCell ref="B10:F10"/>
    <mergeCell ref="B20:B21"/>
    <mergeCell ref="B25:G25"/>
    <mergeCell ref="B2:G2"/>
    <mergeCell ref="B3:G3"/>
    <mergeCell ref="B14:B15"/>
    <mergeCell ref="B16:B17"/>
    <mergeCell ref="B18:B19"/>
    <mergeCell ref="B7:G7"/>
    <mergeCell ref="B8:G8"/>
    <mergeCell ref="B11:G11"/>
    <mergeCell ref="B12:G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1"/>
  <sheetViews>
    <sheetView view="pageBreakPreview" zoomScale="60" zoomScaleNormal="60" zoomScalePageLayoutView="0" workbookViewId="0" topLeftCell="A1">
      <selection activeCell="I6" sqref="I6"/>
    </sheetView>
  </sheetViews>
  <sheetFormatPr defaultColWidth="9.140625" defaultRowHeight="15"/>
  <cols>
    <col min="1" max="1" width="20.421875" style="0" customWidth="1"/>
    <col min="2" max="2" width="5.8515625" style="0" customWidth="1"/>
    <col min="3" max="3" width="24.00390625" style="0" customWidth="1"/>
    <col min="7" max="7" width="16.28125" style="0" customWidth="1"/>
    <col min="8" max="8" width="12.8515625" style="0" customWidth="1"/>
    <col min="9" max="9" width="12.7109375" style="0" customWidth="1"/>
  </cols>
  <sheetData>
    <row r="2" ht="72.75" customHeight="1"/>
    <row r="3" spans="1:9" ht="15">
      <c r="A3" s="418" t="s">
        <v>86</v>
      </c>
      <c r="B3" s="418"/>
      <c r="C3" s="418"/>
      <c r="D3" s="418"/>
      <c r="E3" s="418"/>
      <c r="F3" s="418"/>
      <c r="G3" s="418"/>
      <c r="H3" s="418"/>
      <c r="I3" s="418"/>
    </row>
    <row r="4" spans="1:9" ht="27" customHeight="1" thickBot="1">
      <c r="A4" s="419"/>
      <c r="B4" s="419"/>
      <c r="C4" s="419"/>
      <c r="D4" s="419"/>
      <c r="E4" s="419"/>
      <c r="F4" s="419"/>
      <c r="G4" s="419"/>
      <c r="H4" s="419"/>
      <c r="I4" s="419"/>
    </row>
    <row r="5" spans="1:9" ht="15">
      <c r="A5" s="420" t="s">
        <v>67</v>
      </c>
      <c r="B5" s="421"/>
      <c r="C5" s="421"/>
      <c r="D5" s="424" t="s">
        <v>69</v>
      </c>
      <c r="E5" s="425"/>
      <c r="F5" s="426"/>
      <c r="G5" s="427"/>
      <c r="H5" s="66" t="s">
        <v>70</v>
      </c>
      <c r="I5" s="67">
        <f>IF(H5="s",((1+D10+D7+D8)*(1+D9)*((1+D11)/(1-D13)))-1,0)</f>
        <v>0</v>
      </c>
    </row>
    <row r="6" spans="1:9" ht="15.75" thickBot="1">
      <c r="A6" s="422"/>
      <c r="B6" s="423"/>
      <c r="C6" s="423"/>
      <c r="D6" s="428" t="s">
        <v>71</v>
      </c>
      <c r="E6" s="429"/>
      <c r="F6" s="430"/>
      <c r="G6" s="431"/>
      <c r="H6" s="68" t="s">
        <v>72</v>
      </c>
      <c r="I6" s="69">
        <f>ROUND(IF(H6="s",((1+D10+D7+D8)*(1+D9)*((1+D11)/(1-D13-D12)))-1,0),4)</f>
        <v>0.2381</v>
      </c>
    </row>
    <row r="7" spans="1:9" ht="15">
      <c r="A7" s="70" t="s">
        <v>73</v>
      </c>
      <c r="B7" s="71"/>
      <c r="C7" s="72" t="s">
        <v>74</v>
      </c>
      <c r="D7" s="432">
        <v>0.0032</v>
      </c>
      <c r="E7" s="433"/>
      <c r="F7" s="434" t="s">
        <v>75</v>
      </c>
      <c r="G7" s="435"/>
      <c r="H7" s="435"/>
      <c r="I7" s="436"/>
    </row>
    <row r="8" spans="1:9" ht="15">
      <c r="A8" s="73" t="s">
        <v>76</v>
      </c>
      <c r="B8" s="74"/>
      <c r="C8" s="75" t="s">
        <v>77</v>
      </c>
      <c r="D8" s="443">
        <v>0.005</v>
      </c>
      <c r="E8" s="444"/>
      <c r="F8" s="437"/>
      <c r="G8" s="438"/>
      <c r="H8" s="438"/>
      <c r="I8" s="439"/>
    </row>
    <row r="9" spans="1:9" ht="15">
      <c r="A9" s="76" t="s">
        <v>78</v>
      </c>
      <c r="B9" s="74"/>
      <c r="C9" s="75" t="s">
        <v>79</v>
      </c>
      <c r="D9" s="443">
        <v>0.011</v>
      </c>
      <c r="E9" s="444"/>
      <c r="F9" s="437"/>
      <c r="G9" s="438"/>
      <c r="H9" s="438"/>
      <c r="I9" s="439"/>
    </row>
    <row r="10" spans="1:9" ht="15">
      <c r="A10" s="73" t="s">
        <v>80</v>
      </c>
      <c r="B10" s="74"/>
      <c r="C10" s="75" t="s">
        <v>81</v>
      </c>
      <c r="D10" s="443">
        <v>0.039</v>
      </c>
      <c r="E10" s="444"/>
      <c r="F10" s="437"/>
      <c r="G10" s="438"/>
      <c r="H10" s="438"/>
      <c r="I10" s="439"/>
    </row>
    <row r="11" spans="1:9" ht="15">
      <c r="A11" s="73" t="s">
        <v>82</v>
      </c>
      <c r="B11" s="74"/>
      <c r="C11" s="75" t="s">
        <v>83</v>
      </c>
      <c r="D11" s="443">
        <v>0.08</v>
      </c>
      <c r="E11" s="444"/>
      <c r="F11" s="437"/>
      <c r="G11" s="438"/>
      <c r="H11" s="438"/>
      <c r="I11" s="439"/>
    </row>
    <row r="12" spans="1:9" ht="15">
      <c r="A12" s="73" t="s">
        <v>84</v>
      </c>
      <c r="B12" s="74"/>
      <c r="C12" s="75">
        <v>0.02</v>
      </c>
      <c r="D12" s="443">
        <v>0.02</v>
      </c>
      <c r="E12" s="444"/>
      <c r="F12" s="437"/>
      <c r="G12" s="438"/>
      <c r="H12" s="438"/>
      <c r="I12" s="439"/>
    </row>
    <row r="13" spans="1:9" ht="15.75" thickBot="1">
      <c r="A13" s="77" t="s">
        <v>85</v>
      </c>
      <c r="B13" s="78"/>
      <c r="C13" s="79">
        <f>(3+0.65+2)/100</f>
        <v>0.0565</v>
      </c>
      <c r="D13" s="445">
        <v>0.0565</v>
      </c>
      <c r="E13" s="446"/>
      <c r="F13" s="440"/>
      <c r="G13" s="441"/>
      <c r="H13" s="441"/>
      <c r="I13" s="442"/>
    </row>
    <row r="17" ht="15">
      <c r="A17" s="106" t="s">
        <v>121</v>
      </c>
    </row>
    <row r="18" ht="15">
      <c r="A18" s="106"/>
    </row>
    <row r="19" ht="15">
      <c r="A19" s="105"/>
    </row>
    <row r="20" ht="15">
      <c r="A20" s="106" t="s">
        <v>146</v>
      </c>
    </row>
    <row r="21" ht="15">
      <c r="I21" t="s">
        <v>68</v>
      </c>
    </row>
  </sheetData>
  <sheetProtection/>
  <mergeCells count="12">
    <mergeCell ref="D12:E12"/>
    <mergeCell ref="D13:E13"/>
    <mergeCell ref="A3:I4"/>
    <mergeCell ref="A5:C6"/>
    <mergeCell ref="D5:G5"/>
    <mergeCell ref="D6:G6"/>
    <mergeCell ref="D7:E7"/>
    <mergeCell ref="F7:I13"/>
    <mergeCell ref="D8:E8"/>
    <mergeCell ref="D9:E9"/>
    <mergeCell ref="D10:E10"/>
    <mergeCell ref="D11:E11"/>
  </mergeCells>
  <conditionalFormatting sqref="H5:H6">
    <cfRule type="cellIs" priority="1" dxfId="0" operator="notEqual" stopIfTrue="1">
      <formula>IF(H6="x",0)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CAMG</dc:creator>
  <cp:keywords/>
  <dc:description/>
  <cp:lastModifiedBy>Engenharia</cp:lastModifiedBy>
  <cp:lastPrinted>2020-06-30T16:44:24Z</cp:lastPrinted>
  <dcterms:created xsi:type="dcterms:W3CDTF">2012-03-15T14:32:41Z</dcterms:created>
  <dcterms:modified xsi:type="dcterms:W3CDTF">2020-07-03T13:48:00Z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0008003e050000000000010290110207f7000400038000</vt:lpwstr>
  </property>
</Properties>
</file>