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1980" windowHeight="11760"/>
  </bookViews>
  <sheets>
    <sheet name="Planilha Orcamentaria" sheetId="5" r:id="rId1"/>
    <sheet name="composição assentamento aduela" sheetId="7" r:id="rId2"/>
    <sheet name="BDI" sheetId="8" r:id="rId3"/>
    <sheet name="CRONOGRAMA" sheetId="9" r:id="rId4"/>
    <sheet name="Memoria" sheetId="10" r:id="rId5"/>
  </sheets>
  <definedNames>
    <definedName name="_xlnm.Print_Area" localSheetId="0">'Planilha Orcamentaria'!$A$1:$H$42</definedName>
  </definedNames>
  <calcPr calcId="124519"/>
</workbook>
</file>

<file path=xl/calcChain.xml><?xml version="1.0" encoding="utf-8"?>
<calcChain xmlns="http://schemas.openxmlformats.org/spreadsheetml/2006/main">
  <c r="E36" i="10"/>
  <c r="E37"/>
  <c r="E34"/>
  <c r="E35"/>
  <c r="E33"/>
  <c r="E28"/>
  <c r="E29"/>
  <c r="E30"/>
  <c r="E23"/>
  <c r="E24"/>
  <c r="E25"/>
  <c r="E26"/>
  <c r="E27"/>
  <c r="E22"/>
  <c r="E18"/>
  <c r="E15"/>
  <c r="E16"/>
  <c r="E17"/>
  <c r="E14"/>
  <c r="E35" i="5"/>
  <c r="E37"/>
  <c r="E36"/>
  <c r="E30"/>
  <c r="E29"/>
  <c r="E28"/>
  <c r="E24"/>
  <c r="E23"/>
  <c r="E18"/>
  <c r="E22"/>
  <c r="I12" i="9"/>
  <c r="B16"/>
  <c r="B14"/>
  <c r="B12"/>
  <c r="H10" i="10"/>
  <c r="E14" i="5"/>
  <c r="I16" i="9"/>
  <c r="I14"/>
  <c r="C13" i="8"/>
  <c r="I6"/>
  <c r="H10" i="5"/>
  <c r="G37" s="1"/>
  <c r="H37" s="1"/>
  <c r="I5" i="8"/>
  <c r="O3" i="7"/>
  <c r="I2"/>
  <c r="E4"/>
  <c r="E3"/>
  <c r="G3"/>
  <c r="E7"/>
  <c r="G7"/>
  <c r="E6"/>
  <c r="G6"/>
  <c r="E5"/>
  <c r="G5"/>
  <c r="G9"/>
  <c r="G36" i="5"/>
  <c r="H36" s="1"/>
  <c r="G35"/>
  <c r="H35" s="1"/>
  <c r="G34"/>
  <c r="H34"/>
  <c r="G24"/>
  <c r="H24"/>
  <c r="G25"/>
  <c r="H25" s="1"/>
  <c r="G15"/>
  <c r="H15" s="1"/>
  <c r="G14"/>
  <c r="H14" s="1"/>
  <c r="G29"/>
  <c r="H29" s="1"/>
  <c r="G16"/>
  <c r="H16" s="1"/>
  <c r="E25"/>
  <c r="E27"/>
  <c r="G33" l="1"/>
  <c r="H33" s="1"/>
  <c r="H38" s="1"/>
  <c r="D17" i="9" s="1"/>
  <c r="G26" i="5"/>
  <c r="H26" s="1"/>
  <c r="G23"/>
  <c r="H23" s="1"/>
  <c r="G17"/>
  <c r="H17" s="1"/>
  <c r="H19" s="1"/>
  <c r="D13" i="9" s="1"/>
  <c r="G22" i="5"/>
  <c r="H22" s="1"/>
  <c r="G18"/>
  <c r="H18" s="1"/>
  <c r="G27"/>
  <c r="H27" s="1"/>
  <c r="G30"/>
  <c r="H30" s="1"/>
  <c r="G28"/>
  <c r="H28" s="1"/>
  <c r="F13" i="9" l="1"/>
  <c r="E13"/>
  <c r="G13"/>
  <c r="E17"/>
  <c r="G17"/>
  <c r="F17"/>
  <c r="H31" i="5"/>
  <c r="I13" i="9" l="1"/>
  <c r="D15"/>
  <c r="H40" i="5"/>
  <c r="I17" i="9"/>
  <c r="G15" l="1"/>
  <c r="E15"/>
  <c r="E19" s="1"/>
  <c r="F15"/>
  <c r="F19" s="1"/>
  <c r="F18" s="1"/>
  <c r="D19"/>
  <c r="I15" l="1"/>
  <c r="I19" s="1"/>
  <c r="I18" s="1"/>
  <c r="G19"/>
  <c r="G18" s="1"/>
  <c r="D12"/>
  <c r="D16"/>
  <c r="D14"/>
  <c r="E18"/>
  <c r="D18" l="1"/>
</calcChain>
</file>

<file path=xl/sharedStrings.xml><?xml version="1.0" encoding="utf-8"?>
<sst xmlns="http://schemas.openxmlformats.org/spreadsheetml/2006/main" count="306" uniqueCount="177">
  <si>
    <t>ITEM</t>
  </si>
  <si>
    <t>DESCRIÇÃO</t>
  </si>
  <si>
    <t>QUANTIDADE</t>
  </si>
  <si>
    <t>UNIDADE</t>
  </si>
  <si>
    <t>PLANILHA ORÇAMENTÁRIA DE CUSTOS</t>
  </si>
  <si>
    <t>CÓDIGO</t>
  </si>
  <si>
    <t>DIRETA</t>
  </si>
  <si>
    <t>INDIRETA</t>
  </si>
  <si>
    <t>(    )</t>
  </si>
  <si>
    <t>PREÇO TOTAL</t>
  </si>
  <si>
    <t xml:space="preserve">FORMA DE EXECUÇÃO: </t>
  </si>
  <si>
    <t>M2</t>
  </si>
  <si>
    <t>1.2</t>
  </si>
  <si>
    <t>2.1</t>
  </si>
  <si>
    <t>M3</t>
  </si>
  <si>
    <t>TXKM</t>
  </si>
  <si>
    <t>DRE-001</t>
  </si>
  <si>
    <t>3.1</t>
  </si>
  <si>
    <t>M</t>
  </si>
  <si>
    <t>TOTAL GERAL DA OBRA</t>
  </si>
  <si>
    <t xml:space="preserve">FOLHA Nº: </t>
  </si>
  <si>
    <t>PREFEITURA: MUNICIPAL DE PAINS</t>
  </si>
  <si>
    <t>UNID.</t>
  </si>
  <si>
    <t>(  X  )</t>
  </si>
  <si>
    <t>PREFEITURA MUNICIPAL DE PAINS</t>
  </si>
  <si>
    <t>SISTEMA DE DRENAGEM DE ÁGUAS PLUVIAIS</t>
  </si>
  <si>
    <t>SERVIÇOS PRELIMINARES</t>
  </si>
  <si>
    <t>TER-001</t>
  </si>
  <si>
    <t>TERRAPLENAGEM / TRABALHOS EM TERRA (PARA IMPLANTAÇÃO DE OBRAS DE EDIFICAÇÃO)</t>
  </si>
  <si>
    <t>DRENAGEM</t>
  </si>
  <si>
    <t>COMPOSIÇÃO:</t>
  </si>
  <si>
    <t>DRE-TUB-095</t>
  </si>
  <si>
    <t xml:space="preserve">FORNECIMENTO, ASSENTAMENTO E REJUNTAMENTO DE TUBO DE CONCRETO ARMADO PA1 D = 1500 MM </t>
  </si>
  <si>
    <t xml:space="preserve">M </t>
  </si>
  <si>
    <t>TIPO</t>
  </si>
  <si>
    <t>ÍNDICE</t>
  </si>
  <si>
    <t>UNIT. (R$)</t>
  </si>
  <si>
    <t>TOTAL</t>
  </si>
  <si>
    <t>EQ.LOC</t>
  </si>
  <si>
    <t>55500.5.5</t>
  </si>
  <si>
    <t>GUINDASTE TIPO MUNCK CAP * 8T * MONTADO EM CAMINHAO CARROCERIA ( LOCAÇÃO COM OPERADOR,COMBUSTIVEL E MANUTENÇÃO).</t>
  </si>
  <si>
    <t>H</t>
  </si>
  <si>
    <t>MAT.</t>
  </si>
  <si>
    <t>99909.1.20</t>
  </si>
  <si>
    <t>TUBO DE CONCRETO ARMADO PA1 PB D = 1500 MM</t>
  </si>
  <si>
    <t>SER.CG</t>
  </si>
  <si>
    <t>MAO-AJD-040</t>
  </si>
  <si>
    <t>SERVENTE COM ENCARGOS COMPLEMENTARES</t>
  </si>
  <si>
    <t>MAO-OFC-075</t>
  </si>
  <si>
    <t>PEDREIRO COM ENCARGOS COMPLEMENTARES</t>
  </si>
  <si>
    <t>Composição BDI</t>
  </si>
  <si>
    <t>BDI</t>
  </si>
  <si>
    <t>SEM Desoneração: Digite S(sim) ou N(não)</t>
  </si>
  <si>
    <t>N</t>
  </si>
  <si>
    <t>COM Desoneração: Digite S(sim) ou N(não)</t>
  </si>
  <si>
    <t>S</t>
  </si>
  <si>
    <t>Garantia (G):</t>
  </si>
  <si>
    <t xml:space="preserve"> 0,32% a 0,74%</t>
  </si>
  <si>
    <t>Composição do BDI, intervalos admissíveis e Fórmula de cálculo nos termos do Acórdão 2622/2013 do TCU.</t>
  </si>
  <si>
    <t>Risco (R) :</t>
  </si>
  <si>
    <t>0,50% a 0,97%</t>
  </si>
  <si>
    <t>Desp. financeiras (DF):</t>
  </si>
  <si>
    <t>1,02% a 1,21%</t>
  </si>
  <si>
    <t>Adm. Central (AC):</t>
  </si>
  <si>
    <t>3,80% a 4,67%</t>
  </si>
  <si>
    <t>Lucro (L):</t>
  </si>
  <si>
    <t>6,64% a 8,69%</t>
  </si>
  <si>
    <t>CPRB:</t>
  </si>
  <si>
    <t>Tributos (T):</t>
  </si>
  <si>
    <t xml:space="preserve">  </t>
  </si>
  <si>
    <t>ESTADO DE MINAS GERAIS</t>
  </si>
  <si>
    <t>CRONOGRAMA FÍSICO-FINANCEIRO</t>
  </si>
  <si>
    <t>PROPONENTE:  PREFEITURA MUNICIPAL DE PAINS</t>
  </si>
  <si>
    <t>FOLHA Nº  01</t>
  </si>
  <si>
    <t>ETAPAS</t>
  </si>
  <si>
    <t>Físico / Financeiro</t>
  </si>
  <si>
    <t>TOTAL ETAPAS</t>
  </si>
  <si>
    <t>Mês 1</t>
  </si>
  <si>
    <t>Mês 2</t>
  </si>
  <si>
    <t>Mês 3</t>
  </si>
  <si>
    <t>Total</t>
  </si>
  <si>
    <t>Físico %</t>
  </si>
  <si>
    <t>Financeiro</t>
  </si>
  <si>
    <t>3.0</t>
  </si>
  <si>
    <t>3.2</t>
  </si>
  <si>
    <t>3.3</t>
  </si>
  <si>
    <t>1.0</t>
  </si>
  <si>
    <t xml:space="preserve">74221/001 </t>
  </si>
  <si>
    <t xml:space="preserve">SINALIZACAO DE TRANSITO - NOTURNA </t>
  </si>
  <si>
    <t>1.3</t>
  </si>
  <si>
    <t>1.4</t>
  </si>
  <si>
    <t>1.5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</si>
  <si>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</si>
  <si>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</si>
  <si>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</si>
  <si>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</si>
  <si>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</si>
  <si>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</si>
  <si>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</si>
  <si>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</si>
  <si>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78472</t>
  </si>
  <si>
    <t xml:space="preserve">M2 </t>
  </si>
  <si>
    <t>99058</t>
  </si>
  <si>
    <t>SERVICOS TOPOGRAFICOS PARA PAVIMENTACAO, INCLUSIVE NOTA DE SERVICOS, COMPANHAMENTO E GREIDE</t>
  </si>
  <si>
    <t>UM</t>
  </si>
  <si>
    <t>1.7</t>
  </si>
  <si>
    <t xml:space="preserve">LOCAÇÃO DE PONTO PARA REFERÊNCIA TOPOGRÁFICA. AF_10/2018  </t>
  </si>
  <si>
    <t xml:space="preserve">IIO-BAR-046 </t>
  </si>
  <si>
    <t xml:space="preserve">BARRACÃO DE OBRA, INCLUSIVE SANITÁRIOS 
</t>
  </si>
  <si>
    <t>74209/001</t>
  </si>
  <si>
    <t xml:space="preserve">PLACA DE OBRA EM CHAPA DE ACO GALVANIZADO 
</t>
  </si>
  <si>
    <t>83343</t>
  </si>
  <si>
    <t>ESCAVACAO MECANICA DE VALAS (SOLO COM AGUA), PROFUNDIDADE MAIOR QUE 4,00 M ATE 6,00 M.</t>
  </si>
  <si>
    <t xml:space="preserve">72915 </t>
  </si>
  <si>
    <t>72917</t>
  </si>
  <si>
    <t>ESCAVACAO MECANICA DE VALA EM MATERIAL 2A. CATEGORIA DE 2,01 ATE 4,00 M DE PROFUNDIDADE COM UTILIZACAO DE ESCAVADEIRA HIDRAULICA</t>
  </si>
  <si>
    <t>ESCAVACAO MECANICA DE VALA EM MATERIAL DE 2A. CATEGORIA ATE 2 M DE PROFUNDIDADE COM UTILIZACAO DE ESCAVADEIRA HIDRAULICA.</t>
  </si>
  <si>
    <t>72961</t>
  </si>
  <si>
    <t xml:space="preserve">REGULARIZACAO E COMPACTACAO DE SUBLEITO ATE 20 CM DE ESPESSURA
</t>
  </si>
  <si>
    <t>93382</t>
  </si>
  <si>
    <t xml:space="preserve">REATERRO MANUAL DE VALAS COM COMPACTAÇÃO MECANIZADA. AF_04/2016  </t>
  </si>
  <si>
    <t>97918</t>
  </si>
  <si>
    <t xml:space="preserve">TRANSPORTE COM CAMINHÃO BASCULANTE DE 6 M3, EM VIA URBANA PAVIMENTADA, DMT ATÉ 30 KM (UNIDADE: TXKM). AF_01/2018
</t>
  </si>
  <si>
    <t>ASSENTAMENTO DE TUBO DE CONCRETO PARA REDES COLETORAS DE ÁGUAS PLUVIAIS, DIÂMETRO DE 1500 MM, JUNTA RÍGIDA, INSTALADO EM LOCAL COM ALTO NÍVEL DE INTERFERÊNCIAS (NÃO INCLUI FORNECIMENTO). AF_12/2015</t>
  </si>
  <si>
    <t>COMPOSIÇÃO</t>
  </si>
  <si>
    <t>DRE-POÇ-010</t>
  </si>
  <si>
    <t>und</t>
  </si>
  <si>
    <t xml:space="preserve">73891/001 </t>
  </si>
  <si>
    <t xml:space="preserve">ESGOTAMENTO COM MOTO-BOMBA AUTOESCOVANTE </t>
  </si>
  <si>
    <t>POÇO DE VISITA PARA REDE TUBULAR TIPO A DN 600, EXCLUSIVE
ESCAVAÇÃO, REATERRO E BOTA FORA</t>
  </si>
  <si>
    <t xml:space="preserve">RO-43247 </t>
  </si>
  <si>
    <t xml:space="preserve">ESCORAMENTO DESCONTÍNUO DE VALAS (EXECUÇÃO, INCLUINDO
FORNECIMENTO E TRANSPORTE DE TODOS OS MATERIAIS) </t>
  </si>
  <si>
    <t xml:space="preserve">M3 </t>
  </si>
  <si>
    <t>MEMORIA</t>
  </si>
  <si>
    <t>3X1,5</t>
  </si>
  <si>
    <t>ÁREA RETIRADA DO AUTOCAD</t>
  </si>
  <si>
    <t>PONTOS DO FUNTO E TAMPÃO DOS PVs</t>
  </si>
  <si>
    <t>3*4</t>
  </si>
  <si>
    <t>FUN-LAS-010</t>
  </si>
  <si>
    <t>REGIÃO/MÊS DE REFERÊNCIA: SINAPI 05/2019   SETOP 01/2019</t>
  </si>
  <si>
    <t>LOCAL: Rua Bonifacil /Rua do Contorno</t>
  </si>
  <si>
    <t>PRAZO DE EXECUÇÃO: 4 MESES</t>
  </si>
  <si>
    <t>DATA:25/06/2019</t>
  </si>
  <si>
    <t xml:space="preserve">OBRA: Sistema de Drenagem </t>
  </si>
  <si>
    <t>PREÇO UNITÁRIO S/ BDI</t>
  </si>
  <si>
    <t>PREÇO UNITÁRIO C/ BDI</t>
  </si>
  <si>
    <t xml:space="preserve">LASTRO DE BRITA 2 OU 3 APILOADO MANUALMENTE </t>
  </si>
  <si>
    <t>EST-GRO-015</t>
  </si>
  <si>
    <t xml:space="preserve"> GROUT - PREPARO COM ARGAMASSA DE CIMENTO, AREIA SEM
PENEIRAR E PEDRISCO TRAÇO 1:3:2</t>
  </si>
  <si>
    <t>50*2*3,18</t>
  </si>
  <si>
    <t>LOCAL: Rua José Bonifacil/ Rua do Contorno</t>
  </si>
  <si>
    <t>OBRA:  Sistema de Drenagem</t>
  </si>
  <si>
    <t>LOCAL:  Rua José Bonifacil/ Rua do Contorno</t>
  </si>
  <si>
    <t>74010/001</t>
  </si>
  <si>
    <t>CARGA E DESCARGA MECANICA DE SOLO UTILIZANDO CAMINHAO BASCULANTE 6,0M3 /16T E PA CARREGADEIRA SOBRE PNEUS 128 HP, CAPACIDADE DA CAÇAMBA 1,7 A 2,8 M3, PESO OPERACIONAL 11632 KG</t>
  </si>
  <si>
    <t>2.1.9</t>
  </si>
  <si>
    <t>Fator de ajuste</t>
  </si>
  <si>
    <t>3.4</t>
  </si>
  <si>
    <t>3.5</t>
  </si>
  <si>
    <t xml:space="preserve">EST-CON-040
</t>
  </si>
  <si>
    <t>FORNECIMENTO DE CONCRETO ESTRUTURAL, PREPARADO EM
OBRA, COM FCK 30 MPA, INCLUSIVE LANÇAMENTO,
ADENSAMENTO E ACABAMENTO
M3</t>
  </si>
  <si>
    <t xml:space="preserve"> FUN-FOR-010 </t>
  </si>
  <si>
    <t xml:space="preserve">FORMA E DESFORMA DE COMPENSADO RESINADO, ESP. 12MM,
REAPROVEITAMENTO (3X) (FUNDAÇÃO) </t>
  </si>
  <si>
    <t>Assinatura do Responsável Técnico:____________________________________________ Local e Data: Pains 03 de Julho de 2019</t>
  </si>
  <si>
    <t>(0,65*2*4)+0,2*2,4*4+0,3*2,4*4</t>
  </si>
  <si>
    <t>(0,65*0,2*4)+0,3*0,2*2,4*4</t>
  </si>
  <si>
    <t xml:space="preserve">FORNECIMENTO DE CONCRETO ESTRUTURAL, PREPARADO EM
OBRA, COM FCK 30 MPA, INCLUSIVE LANÇAMENTO,
ADENSAMENTO E ACABAMENTO
</t>
  </si>
  <si>
    <t>100*4*2</t>
  </si>
  <si>
    <t>(100*4*((0,6+1,83)/2))</t>
  </si>
  <si>
    <t>100*4*0,4</t>
  </si>
  <si>
    <t>(100*4*2)+(100*4*((0,6+1,83)/2))+100*4*0,4</t>
  </si>
  <si>
    <t>((100*4*2)+(100*4*((0,6+1,83)/2))+100*4*0,4)*10</t>
  </si>
  <si>
    <t>100*4</t>
  </si>
  <si>
    <t>(100*4*4)-((100*2*2))+0,2*100*4</t>
  </si>
  <si>
    <t>5,26+7,57</t>
  </si>
  <si>
    <t>PRAZO DE EXECUÇÃO: 3 MESES</t>
  </si>
  <si>
    <t>Assinatura do Responsável Técnico: ______________________________________________ Local e Data:  Pains 03 de Julho de 2019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</si>
</sst>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70" formatCode="_(&quot;R$ &quot;* #,##0.00_);_(&quot;R$ &quot;* \(#,##0.00\);_(&quot;R$ &quot;* &quot;-&quot;??_);_(@_)"/>
    <numFmt numFmtId="171" formatCode="_(* #,##0.00_);_(* \(#,##0.00\);_(* &quot;-&quot;??_);_(@_)"/>
    <numFmt numFmtId="176" formatCode="_-* #,##0.00000_-;\-* #,##0.00000_-;_-* &quot;-&quot;??_-;_-@_-"/>
    <numFmt numFmtId="177" formatCode="_-[$R$-416]\ * #,##0.00_-;\-[$R$-416]\ * #,##0.00_-;_-[$R$-416]\ * &quot;-&quot;??_-;_-@_-"/>
  </numFmts>
  <fonts count="23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8"/>
      <color rgb="FF000000"/>
      <name val="Courier New"/>
      <family val="3"/>
    </font>
    <font>
      <b/>
      <sz val="8"/>
      <color rgb="FF000000"/>
      <name val="Courier New"/>
      <family val="3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26"/>
      <color theme="1"/>
      <name val="Calibri"/>
      <family val="2"/>
      <scheme val="minor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00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4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259">
    <xf numFmtId="0" fontId="0" fillId="0" borderId="0" xfId="0"/>
    <xf numFmtId="0" fontId="6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10" fontId="7" fillId="0" borderId="5" xfId="2" applyNumberFormat="1" applyFont="1" applyFill="1" applyBorder="1" applyAlignment="1">
      <alignment horizontal="center" vertical="center"/>
    </xf>
    <xf numFmtId="4" fontId="6" fillId="0" borderId="0" xfId="0" applyNumberFormat="1" applyFont="1"/>
    <xf numFmtId="4" fontId="9" fillId="0" borderId="0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2" fontId="9" fillId="0" borderId="9" xfId="3" applyNumberFormat="1" applyFont="1" applyFill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5" fillId="0" borderId="9" xfId="3" applyNumberFormat="1" applyFont="1" applyFill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4" fillId="3" borderId="55" xfId="0" applyFont="1" applyFill="1" applyBorder="1" applyAlignment="1">
      <alignment vertical="center"/>
    </xf>
    <xf numFmtId="0" fontId="14" fillId="3" borderId="55" xfId="0" applyFont="1" applyFill="1" applyBorder="1" applyAlignment="1">
      <alignment horizontal="left" vertical="center"/>
    </xf>
    <xf numFmtId="0" fontId="14" fillId="3" borderId="55" xfId="0" applyFont="1" applyFill="1" applyBorder="1" applyAlignment="1">
      <alignment horizontal="center" vertical="center"/>
    </xf>
    <xf numFmtId="176" fontId="14" fillId="3" borderId="55" xfId="3" applyNumberFormat="1" applyFont="1" applyFill="1" applyBorder="1" applyAlignment="1">
      <alignment horizontal="right" vertical="center"/>
    </xf>
    <xf numFmtId="43" fontId="14" fillId="3" borderId="55" xfId="3" applyNumberFormat="1" applyFont="1" applyFill="1" applyBorder="1" applyAlignment="1">
      <alignment horizontal="right" vertical="center"/>
    </xf>
    <xf numFmtId="177" fontId="14" fillId="3" borderId="55" xfId="3" applyNumberFormat="1" applyFont="1" applyFill="1" applyBorder="1" applyAlignment="1">
      <alignment horizontal="right" vertical="center"/>
    </xf>
    <xf numFmtId="0" fontId="15" fillId="4" borderId="56" xfId="0" applyFont="1" applyFill="1" applyBorder="1" applyAlignment="1">
      <alignment vertical="center"/>
    </xf>
    <xf numFmtId="0" fontId="15" fillId="4" borderId="57" xfId="0" applyFont="1" applyFill="1" applyBorder="1" applyAlignment="1">
      <alignment horizontal="left" vertical="center"/>
    </xf>
    <xf numFmtId="0" fontId="15" fillId="4" borderId="57" xfId="0" applyFont="1" applyFill="1" applyBorder="1" applyAlignment="1">
      <alignment horizontal="center" vertical="center"/>
    </xf>
    <xf numFmtId="176" fontId="15" fillId="4" borderId="57" xfId="3" applyNumberFormat="1" applyFont="1" applyFill="1" applyBorder="1" applyAlignment="1">
      <alignment horizontal="right" vertical="center"/>
    </xf>
    <xf numFmtId="43" fontId="15" fillId="4" borderId="57" xfId="3" applyNumberFormat="1" applyFont="1" applyFill="1" applyBorder="1" applyAlignment="1">
      <alignment horizontal="right" vertical="center"/>
    </xf>
    <xf numFmtId="177" fontId="15" fillId="4" borderId="58" xfId="3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7" xfId="0" applyFont="1" applyFill="1" applyBorder="1" applyAlignment="1">
      <alignment horizontal="right" vertical="center"/>
    </xf>
    <xf numFmtId="0" fontId="14" fillId="0" borderId="57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horizontal="center" vertical="center"/>
    </xf>
    <xf numFmtId="176" fontId="14" fillId="0" borderId="57" xfId="3" applyNumberFormat="1" applyFont="1" applyFill="1" applyBorder="1" applyAlignment="1">
      <alignment horizontal="right" vertical="center"/>
    </xf>
    <xf numFmtId="43" fontId="14" fillId="0" borderId="57" xfId="3" applyNumberFormat="1" applyFont="1" applyFill="1" applyBorder="1" applyAlignment="1">
      <alignment horizontal="right" vertical="center"/>
    </xf>
    <xf numFmtId="177" fontId="14" fillId="0" borderId="58" xfId="3" applyNumberFormat="1" applyFont="1" applyFill="1" applyBorder="1" applyAlignment="1">
      <alignment horizontal="right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horizontal="right" vertical="center"/>
    </xf>
    <xf numFmtId="0" fontId="14" fillId="0" borderId="60" xfId="0" applyFont="1" applyFill="1" applyBorder="1" applyAlignment="1">
      <alignment horizontal="left" vertical="center"/>
    </xf>
    <xf numFmtId="0" fontId="14" fillId="0" borderId="60" xfId="0" applyFont="1" applyFill="1" applyBorder="1" applyAlignment="1">
      <alignment horizontal="center" vertical="center"/>
    </xf>
    <xf numFmtId="176" fontId="14" fillId="0" borderId="60" xfId="3" applyNumberFormat="1" applyFont="1" applyFill="1" applyBorder="1" applyAlignment="1">
      <alignment horizontal="right" vertical="center"/>
    </xf>
    <xf numFmtId="43" fontId="14" fillId="0" borderId="60" xfId="3" applyNumberFormat="1" applyFont="1" applyFill="1" applyBorder="1" applyAlignment="1">
      <alignment horizontal="right" vertical="center"/>
    </xf>
    <xf numFmtId="177" fontId="14" fillId="0" borderId="61" xfId="3" applyNumberFormat="1" applyFont="1" applyFill="1" applyBorder="1" applyAlignment="1">
      <alignment horizontal="right" vertical="center"/>
    </xf>
    <xf numFmtId="0" fontId="14" fillId="4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horizontal="right" vertical="center"/>
    </xf>
    <xf numFmtId="0" fontId="14" fillId="4" borderId="0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176" fontId="14" fillId="4" borderId="0" xfId="3" applyNumberFormat="1" applyFont="1" applyFill="1" applyBorder="1" applyAlignment="1">
      <alignment horizontal="right" vertical="center"/>
    </xf>
    <xf numFmtId="43" fontId="14" fillId="4" borderId="0" xfId="3" applyNumberFormat="1" applyFont="1" applyFill="1" applyBorder="1" applyAlignment="1">
      <alignment horizontal="right" vertical="center"/>
    </xf>
    <xf numFmtId="10" fontId="3" fillId="2" borderId="10" xfId="0" applyNumberFormat="1" applyFont="1" applyFill="1" applyBorder="1" applyAlignment="1">
      <alignment horizontal="center"/>
    </xf>
    <xf numFmtId="10" fontId="3" fillId="0" borderId="11" xfId="2" applyNumberFormat="1" applyFont="1" applyFill="1" applyBorder="1" applyAlignment="1"/>
    <xf numFmtId="10" fontId="3" fillId="2" borderId="12" xfId="0" applyNumberFormat="1" applyFont="1" applyFill="1" applyBorder="1" applyAlignment="1">
      <alignment horizontal="center"/>
    </xf>
    <xf numFmtId="10" fontId="3" fillId="0" borderId="13" xfId="2" applyNumberFormat="1" applyFont="1" applyFill="1" applyBorder="1" applyAlignment="1"/>
    <xf numFmtId="0" fontId="0" fillId="0" borderId="14" xfId="0" applyBorder="1" applyAlignment="1"/>
    <xf numFmtId="0" fontId="0" fillId="0" borderId="15" xfId="0" applyNumberFormat="1" applyBorder="1" applyAlignment="1">
      <alignment horizontal="center"/>
    </xf>
    <xf numFmtId="10" fontId="0" fillId="0" borderId="15" xfId="0" applyNumberFormat="1" applyBorder="1" applyAlignment="1">
      <alignment horizontal="left"/>
    </xf>
    <xf numFmtId="0" fontId="0" fillId="0" borderId="16" xfId="0" applyBorder="1" applyAlignment="1"/>
    <xf numFmtId="0" fontId="0" fillId="0" borderId="9" xfId="0" applyNumberFormat="1" applyBorder="1" applyAlignment="1">
      <alignment horizontal="center"/>
    </xf>
    <xf numFmtId="10" fontId="0" fillId="0" borderId="9" xfId="0" applyNumberFormat="1" applyBorder="1" applyAlignment="1">
      <alignment horizontal="left"/>
    </xf>
    <xf numFmtId="0" fontId="13" fillId="0" borderId="16" xfId="0" applyFont="1" applyBorder="1" applyAlignment="1"/>
    <xf numFmtId="0" fontId="0" fillId="0" borderId="17" xfId="0" applyBorder="1" applyAlignment="1"/>
    <xf numFmtId="0" fontId="0" fillId="0" borderId="12" xfId="0" applyNumberFormat="1" applyBorder="1" applyAlignment="1">
      <alignment horizontal="center"/>
    </xf>
    <xf numFmtId="10" fontId="0" fillId="0" borderId="12" xfId="0" applyNumberFormat="1" applyBorder="1" applyAlignment="1">
      <alignment horizontal="left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0" fillId="0" borderId="23" xfId="0" applyBorder="1"/>
    <xf numFmtId="0" fontId="0" fillId="0" borderId="24" xfId="0" applyBorder="1"/>
    <xf numFmtId="0" fontId="3" fillId="5" borderId="2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0" fontId="4" fillId="0" borderId="24" xfId="2" applyNumberFormat="1" applyFont="1" applyBorder="1" applyAlignment="1">
      <alignment horizontal="center" vertical="center"/>
    </xf>
    <xf numFmtId="9" fontId="4" fillId="0" borderId="24" xfId="2" applyFont="1" applyBorder="1" applyAlignment="1">
      <alignment horizontal="center" vertical="center"/>
    </xf>
    <xf numFmtId="9" fontId="17" fillId="6" borderId="24" xfId="2" applyFont="1" applyFill="1" applyBorder="1" applyAlignment="1">
      <alignment horizontal="center" vertical="center"/>
    </xf>
    <xf numFmtId="44" fontId="4" fillId="0" borderId="24" xfId="1" applyNumberFormat="1" applyFont="1" applyBorder="1" applyAlignment="1">
      <alignment horizontal="center" vertical="center"/>
    </xf>
    <xf numFmtId="44" fontId="3" fillId="6" borderId="24" xfId="1" applyNumberFormat="1" applyFont="1" applyFill="1" applyBorder="1" applyAlignment="1">
      <alignment vertical="center"/>
    </xf>
    <xf numFmtId="9" fontId="3" fillId="6" borderId="24" xfId="2" applyFont="1" applyFill="1" applyBorder="1" applyAlignment="1">
      <alignment horizontal="center" vertical="center"/>
    </xf>
    <xf numFmtId="9" fontId="4" fillId="7" borderId="24" xfId="2" applyFont="1" applyFill="1" applyBorder="1" applyAlignment="1">
      <alignment horizontal="center" vertical="center"/>
    </xf>
    <xf numFmtId="10" fontId="4" fillId="7" borderId="24" xfId="2" applyNumberFormat="1" applyFont="1" applyFill="1" applyBorder="1" applyAlignment="1">
      <alignment horizontal="center" vertical="center"/>
    </xf>
    <xf numFmtId="44" fontId="3" fillId="5" borderId="24" xfId="0" applyNumberFormat="1" applyFont="1" applyFill="1" applyBorder="1" applyAlignment="1">
      <alignment horizontal="center" vertical="center"/>
    </xf>
    <xf numFmtId="44" fontId="3" fillId="5" borderId="24" xfId="0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left"/>
    </xf>
    <xf numFmtId="0" fontId="18" fillId="0" borderId="0" xfId="0" applyFont="1" applyBorder="1" applyAlignment="1">
      <alignment horizontal="justify"/>
    </xf>
    <xf numFmtId="0" fontId="0" fillId="0" borderId="26" xfId="0" applyBorder="1"/>
    <xf numFmtId="0" fontId="11" fillId="0" borderId="9" xfId="0" applyFont="1" applyBorder="1" applyAlignment="1">
      <alignment horizontal="center" vertical="center" wrapText="1"/>
    </xf>
    <xf numFmtId="10" fontId="4" fillId="0" borderId="9" xfId="0" applyNumberFormat="1" applyFont="1" applyBorder="1" applyAlignment="1">
      <alignment horizontal="left"/>
    </xf>
    <xf numFmtId="170" fontId="8" fillId="0" borderId="9" xfId="1" applyFont="1" applyBorder="1" applyAlignment="1">
      <alignment horizontal="center" vertical="center" wrapText="1"/>
    </xf>
    <xf numFmtId="170" fontId="5" fillId="0" borderId="9" xfId="1" applyFont="1" applyBorder="1" applyAlignment="1">
      <alignment horizontal="center" vertical="center" wrapText="1"/>
    </xf>
    <xf numFmtId="170" fontId="9" fillId="0" borderId="9" xfId="1" applyFont="1" applyBorder="1" applyAlignment="1">
      <alignment horizontal="center" vertical="center" wrapText="1"/>
    </xf>
    <xf numFmtId="170" fontId="5" fillId="0" borderId="9" xfId="1" applyFont="1" applyBorder="1" applyAlignment="1">
      <alignment vertical="center" wrapText="1"/>
    </xf>
    <xf numFmtId="0" fontId="6" fillId="0" borderId="9" xfId="0" applyFont="1" applyBorder="1"/>
    <xf numFmtId="170" fontId="11" fillId="0" borderId="9" xfId="1" applyFont="1" applyBorder="1" applyAlignment="1">
      <alignment horizontal="center" vertical="center" wrapText="1"/>
    </xf>
    <xf numFmtId="0" fontId="6" fillId="0" borderId="27" xfId="0" applyFont="1" applyBorder="1"/>
    <xf numFmtId="0" fontId="6" fillId="0" borderId="2" xfId="0" applyFont="1" applyBorder="1"/>
    <xf numFmtId="0" fontId="6" fillId="0" borderId="28" xfId="0" applyFont="1" applyBorder="1"/>
    <xf numFmtId="0" fontId="5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4" fontId="5" fillId="0" borderId="9" xfId="0" applyNumberFormat="1" applyFont="1" applyBorder="1" applyAlignment="1">
      <alignment horizontal="center" vertical="center" wrapText="1"/>
    </xf>
    <xf numFmtId="0" fontId="14" fillId="3" borderId="55" xfId="0" applyFont="1" applyFill="1" applyBorder="1" applyAlignment="1">
      <alignment horizontal="left" vertical="center" wrapText="1"/>
    </xf>
    <xf numFmtId="0" fontId="5" fillId="0" borderId="2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70" fontId="8" fillId="0" borderId="28" xfId="0" applyNumberFormat="1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170" fontId="8" fillId="0" borderId="9" xfId="0" applyNumberFormat="1" applyFont="1" applyBorder="1" applyAlignment="1">
      <alignment vertical="center" wrapText="1"/>
    </xf>
    <xf numFmtId="0" fontId="14" fillId="0" borderId="57" xfId="0" applyFont="1" applyFill="1" applyBorder="1" applyAlignment="1">
      <alignment horizontal="left" vertical="center" wrapText="1"/>
    </xf>
    <xf numFmtId="44" fontId="3" fillId="6" borderId="29" xfId="1" applyNumberFormat="1" applyFont="1" applyFill="1" applyBorder="1" applyAlignment="1">
      <alignment vertical="center"/>
    </xf>
    <xf numFmtId="0" fontId="11" fillId="0" borderId="15" xfId="0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top" wrapText="1"/>
    </xf>
    <xf numFmtId="2" fontId="9" fillId="0" borderId="15" xfId="3" applyNumberFormat="1" applyFont="1" applyFill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0" fillId="0" borderId="9" xfId="0" applyBorder="1"/>
    <xf numFmtId="0" fontId="4" fillId="0" borderId="9" xfId="0" applyFont="1" applyBorder="1" applyAlignment="1">
      <alignment horizontal="center" vertical="center"/>
    </xf>
    <xf numFmtId="177" fontId="15" fillId="4" borderId="0" xfId="3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wrapText="1"/>
    </xf>
    <xf numFmtId="4" fontId="5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left" vertical="center"/>
    </xf>
    <xf numFmtId="2" fontId="9" fillId="0" borderId="27" xfId="3" applyNumberFormat="1" applyFont="1" applyFill="1" applyBorder="1" applyAlignment="1">
      <alignment horizontal="center" vertical="center" wrapText="1"/>
    </xf>
    <xf numFmtId="2" fontId="9" fillId="0" borderId="2" xfId="3" applyNumberFormat="1" applyFont="1" applyFill="1" applyBorder="1" applyAlignment="1">
      <alignment horizontal="center" vertical="center" wrapText="1"/>
    </xf>
    <xf numFmtId="2" fontId="9" fillId="0" borderId="28" xfId="3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left" vertical="top"/>
    </xf>
    <xf numFmtId="0" fontId="7" fillId="0" borderId="39" xfId="0" applyFont="1" applyFill="1" applyBorder="1" applyAlignment="1">
      <alignment horizontal="left" vertical="top"/>
    </xf>
    <xf numFmtId="0" fontId="7" fillId="0" borderId="40" xfId="0" applyFont="1" applyFill="1" applyBorder="1" applyAlignment="1">
      <alignment horizontal="left" vertical="top"/>
    </xf>
    <xf numFmtId="0" fontId="7" fillId="0" borderId="33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2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horizontal="left" vertical="center"/>
    </xf>
    <xf numFmtId="10" fontId="0" fillId="2" borderId="27" xfId="0" applyNumberFormat="1" applyFill="1" applyBorder="1" applyAlignment="1">
      <alignment horizontal="center"/>
    </xf>
    <xf numFmtId="4" fontId="0" fillId="2" borderId="28" xfId="0" applyNumberFormat="1" applyFill="1" applyBorder="1" applyAlignment="1">
      <alignment horizontal="center"/>
    </xf>
    <xf numFmtId="10" fontId="0" fillId="2" borderId="48" xfId="0" applyNumberFormat="1" applyFill="1" applyBorder="1" applyAlignment="1">
      <alignment horizontal="center"/>
    </xf>
    <xf numFmtId="4" fontId="0" fillId="2" borderId="49" xfId="0" applyNumberFormat="1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2" xfId="0" applyBorder="1" applyAlignment="1">
      <alignment horizontal="center"/>
    </xf>
    <xf numFmtId="10" fontId="0" fillId="2" borderId="45" xfId="0" applyNumberFormat="1" applyFill="1" applyBorder="1" applyAlignment="1">
      <alignment horizontal="center"/>
    </xf>
    <xf numFmtId="4" fontId="0" fillId="2" borderId="46" xfId="0" applyNumberFormat="1" applyFill="1" applyBorder="1" applyAlignment="1">
      <alignment horizontal="center"/>
    </xf>
    <xf numFmtId="0" fontId="0" fillId="0" borderId="15" xfId="0" applyBorder="1" applyAlignment="1">
      <alignment horizontal="righ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9" xfId="0" applyBorder="1" applyAlignment="1">
      <alignment horizontal="righ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2" xfId="0" applyBorder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5" borderId="63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9" fontId="4" fillId="7" borderId="50" xfId="2" applyFont="1" applyFill="1" applyBorder="1" applyAlignment="1">
      <alignment horizontal="center" vertical="center"/>
    </xf>
    <xf numFmtId="9" fontId="4" fillId="7" borderId="51" xfId="2" applyFont="1" applyFill="1" applyBorder="1" applyAlignment="1">
      <alignment horizontal="center" vertical="center"/>
    </xf>
    <xf numFmtId="44" fontId="3" fillId="5" borderId="50" xfId="0" applyNumberFormat="1" applyFont="1" applyFill="1" applyBorder="1" applyAlignment="1">
      <alignment horizontal="center" vertical="center"/>
    </xf>
    <xf numFmtId="0" fontId="3" fillId="5" borderId="5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4" fillId="0" borderId="6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9" fontId="4" fillId="0" borderId="50" xfId="2" applyFont="1" applyBorder="1" applyAlignment="1">
      <alignment horizontal="center" vertical="center"/>
    </xf>
    <xf numFmtId="9" fontId="4" fillId="0" borderId="51" xfId="2" applyFont="1" applyBorder="1" applyAlignment="1">
      <alignment horizontal="center" vertical="center"/>
    </xf>
    <xf numFmtId="44" fontId="4" fillId="0" borderId="50" xfId="1" applyNumberFormat="1" applyFont="1" applyBorder="1" applyAlignment="1">
      <alignment horizontal="center" vertical="center"/>
    </xf>
    <xf numFmtId="44" fontId="4" fillId="0" borderId="51" xfId="1" applyNumberFormat="1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51" xfId="0" applyFont="1" applyBorder="1" applyAlignment="1">
      <alignment horizontal="justify" vertical="top" wrapText="1"/>
    </xf>
    <xf numFmtId="0" fontId="3" fillId="5" borderId="50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0" fillId="0" borderId="26" xfId="0" applyFont="1" applyBorder="1" applyAlignment="1">
      <alignment horizontal="center" vertical="top"/>
    </xf>
    <xf numFmtId="0" fontId="22" fillId="8" borderId="18" xfId="0" applyFont="1" applyFill="1" applyBorder="1" applyAlignment="1">
      <alignment horizontal="center" vertical="center"/>
    </xf>
    <xf numFmtId="0" fontId="22" fillId="8" borderId="19" xfId="0" applyFont="1" applyFill="1" applyBorder="1" applyAlignment="1">
      <alignment horizontal="center" vertical="center"/>
    </xf>
    <xf numFmtId="0" fontId="22" fillId="8" borderId="20" xfId="0" applyFont="1" applyFill="1" applyBorder="1" applyAlignment="1">
      <alignment horizontal="center" vertical="center"/>
    </xf>
    <xf numFmtId="2" fontId="5" fillId="0" borderId="27" xfId="1" applyNumberFormat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center" wrapText="1"/>
    </xf>
    <xf numFmtId="2" fontId="5" fillId="0" borderId="28" xfId="1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170" fontId="5" fillId="0" borderId="27" xfId="1" applyFont="1" applyBorder="1" applyAlignment="1">
      <alignment horizontal="center" vertical="center" wrapText="1"/>
    </xf>
    <xf numFmtId="170" fontId="5" fillId="0" borderId="2" xfId="1" applyFont="1" applyBorder="1" applyAlignment="1">
      <alignment horizontal="center" vertical="center" wrapText="1"/>
    </xf>
    <xf numFmtId="170" fontId="5" fillId="0" borderId="28" xfId="1" applyFont="1" applyBorder="1" applyAlignment="1">
      <alignment horizontal="center" vertical="center" wrapText="1"/>
    </xf>
    <xf numFmtId="2" fontId="9" fillId="0" borderId="27" xfId="1" applyNumberFormat="1" applyFont="1" applyBorder="1" applyAlignment="1">
      <alignment horizontal="center" vertical="center" wrapText="1"/>
    </xf>
    <xf numFmtId="2" fontId="9" fillId="0" borderId="2" xfId="1" applyNumberFormat="1" applyFont="1" applyBorder="1" applyAlignment="1">
      <alignment horizontal="center" vertical="center" wrapText="1"/>
    </xf>
    <xf numFmtId="2" fontId="9" fillId="0" borderId="28" xfId="1" applyNumberFormat="1" applyFont="1" applyBorder="1" applyAlignment="1">
      <alignment horizontal="center" vertical="center" wrapText="1"/>
    </xf>
    <xf numFmtId="170" fontId="5" fillId="0" borderId="45" xfId="1" applyFont="1" applyBorder="1" applyAlignment="1">
      <alignment horizontal="center" vertical="center" wrapText="1"/>
    </xf>
    <xf numFmtId="170" fontId="5" fillId="0" borderId="43" xfId="1" applyFont="1" applyBorder="1" applyAlignment="1">
      <alignment horizontal="center" vertical="center" wrapText="1"/>
    </xf>
    <xf numFmtId="170" fontId="5" fillId="0" borderId="46" xfId="1" applyFont="1" applyBorder="1" applyAlignment="1">
      <alignment horizontal="center" vertical="center" wrapText="1"/>
    </xf>
    <xf numFmtId="170" fontId="5" fillId="0" borderId="27" xfId="1" applyFont="1" applyBorder="1" applyAlignment="1">
      <alignment horizontal="center" wrapText="1"/>
    </xf>
    <xf numFmtId="170" fontId="5" fillId="0" borderId="2" xfId="1" applyFont="1" applyBorder="1" applyAlignment="1">
      <alignment horizontal="center" wrapText="1"/>
    </xf>
    <xf numFmtId="170" fontId="5" fillId="0" borderId="28" xfId="1" applyFont="1" applyBorder="1" applyAlignment="1">
      <alignment horizontal="center" wrapText="1"/>
    </xf>
    <xf numFmtId="170" fontId="9" fillId="0" borderId="27" xfId="1" applyFont="1" applyBorder="1" applyAlignment="1">
      <alignment horizontal="center" vertical="center" wrapText="1"/>
    </xf>
    <xf numFmtId="170" fontId="9" fillId="0" borderId="2" xfId="1" applyFont="1" applyBorder="1" applyAlignment="1">
      <alignment horizontal="center" vertical="center" wrapText="1"/>
    </xf>
    <xf numFmtId="170" fontId="9" fillId="0" borderId="28" xfId="1" applyFont="1" applyBorder="1" applyAlignment="1">
      <alignment horizontal="center" vertical="center" wrapText="1"/>
    </xf>
  </cellXfs>
  <cellStyles count="4">
    <cellStyle name="Moeda" xfId="1" builtinId="4"/>
    <cellStyle name="Normal" xfId="0" builtinId="0"/>
    <cellStyle name="Porcentagem" xfId="2" builtinId="5"/>
    <cellStyle name="Separador de milhares" xfId="3" builtinId="3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609600</xdr:colOff>
      <xdr:row>0</xdr:row>
      <xdr:rowOff>66675</xdr:rowOff>
    </xdr:from>
    <xdr:to>
      <xdr:col>7</xdr:col>
      <xdr:colOff>285750</xdr:colOff>
      <xdr:row>1</xdr:row>
      <xdr:rowOff>276225</xdr:rowOff>
    </xdr:to>
    <xdr:pic>
      <xdr:nvPicPr>
        <xdr:cNvPr id="4217" name="Imagem 3" descr="logo 2017 20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66675"/>
          <a:ext cx="13144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609600</xdr:colOff>
      <xdr:row>0</xdr:row>
      <xdr:rowOff>66675</xdr:rowOff>
    </xdr:from>
    <xdr:to>
      <xdr:col>7</xdr:col>
      <xdr:colOff>704850</xdr:colOff>
      <xdr:row>1</xdr:row>
      <xdr:rowOff>876300</xdr:rowOff>
    </xdr:to>
    <xdr:pic>
      <xdr:nvPicPr>
        <xdr:cNvPr id="9242" name="Imagem 3" descr="logo 2017 20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77150" y="66675"/>
          <a:ext cx="13144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2.bin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3.bin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showGridLines="0" showZeros="0" tabSelected="1" view="pageBreakPreview" topLeftCell="A34" zoomScaleSheetLayoutView="100" workbookViewId="0">
      <selection activeCell="A10" sqref="A10:D10"/>
    </sheetView>
  </sheetViews>
  <sheetFormatPr defaultRowHeight="12.75"/>
  <cols>
    <col min="1" max="1" width="5.42578125" style="1" bestFit="1" customWidth="1"/>
    <col min="2" max="2" width="10.7109375" style="1" bestFit="1" customWidth="1"/>
    <col min="3" max="3" width="71" style="1" customWidth="1"/>
    <col min="4" max="4" width="10.28515625" style="1" customWidth="1"/>
    <col min="5" max="5" width="13.140625" style="1" bestFit="1" customWidth="1"/>
    <col min="6" max="7" width="12.28515625" style="1" customWidth="1"/>
    <col min="8" max="8" width="14.28515625" style="1" bestFit="1" customWidth="1"/>
    <col min="9" max="16384" width="9.140625" style="1"/>
  </cols>
  <sheetData>
    <row r="1" spans="1:8" ht="57" customHeight="1">
      <c r="A1" s="132" t="s">
        <v>24</v>
      </c>
      <c r="B1" s="132"/>
      <c r="C1" s="132"/>
      <c r="D1" s="132"/>
      <c r="E1" s="132"/>
      <c r="F1" s="132"/>
      <c r="G1" s="132"/>
      <c r="H1" s="132"/>
    </row>
    <row r="2" spans="1:8" ht="32.25" customHeight="1" thickBot="1">
      <c r="A2" s="133"/>
      <c r="B2" s="133"/>
      <c r="C2" s="133"/>
      <c r="D2" s="133"/>
      <c r="E2" s="133"/>
      <c r="F2" s="133"/>
      <c r="G2" s="133"/>
      <c r="H2" s="133"/>
    </row>
    <row r="3" spans="1:8" ht="3.75" customHeight="1" thickBot="1">
      <c r="A3" s="135"/>
      <c r="B3" s="135"/>
      <c r="C3" s="135"/>
      <c r="D3" s="135"/>
      <c r="E3" s="135"/>
      <c r="F3" s="135"/>
      <c r="G3" s="135"/>
      <c r="H3" s="135"/>
    </row>
    <row r="4" spans="1:8" ht="20.100000000000001" customHeight="1" thickBot="1">
      <c r="A4" s="157" t="s">
        <v>4</v>
      </c>
      <c r="B4" s="158"/>
      <c r="C4" s="158"/>
      <c r="D4" s="158"/>
      <c r="E4" s="158"/>
      <c r="F4" s="158"/>
      <c r="G4" s="158"/>
      <c r="H4" s="159"/>
    </row>
    <row r="5" spans="1:8" ht="3.75" customHeight="1" thickBot="1">
      <c r="A5" s="2"/>
      <c r="B5" s="2"/>
      <c r="C5" s="2"/>
      <c r="D5" s="2"/>
      <c r="E5" s="2"/>
      <c r="F5" s="2"/>
      <c r="G5" s="2"/>
      <c r="H5" s="2"/>
    </row>
    <row r="6" spans="1:8" ht="20.100000000000001" customHeight="1">
      <c r="A6" s="142" t="s">
        <v>21</v>
      </c>
      <c r="B6" s="143"/>
      <c r="C6" s="143"/>
      <c r="D6" s="143"/>
      <c r="E6" s="144"/>
      <c r="F6" s="160" t="s">
        <v>20</v>
      </c>
      <c r="G6" s="161"/>
      <c r="H6" s="162"/>
    </row>
    <row r="7" spans="1:8" ht="20.100000000000001" customHeight="1">
      <c r="A7" s="145" t="s">
        <v>143</v>
      </c>
      <c r="B7" s="146"/>
      <c r="C7" s="146"/>
      <c r="D7" s="146"/>
      <c r="E7" s="147"/>
      <c r="F7" s="170" t="s">
        <v>142</v>
      </c>
      <c r="G7" s="171"/>
      <c r="H7" s="172"/>
    </row>
    <row r="8" spans="1:8" ht="20.100000000000001" customHeight="1">
      <c r="A8" s="136" t="s">
        <v>140</v>
      </c>
      <c r="B8" s="137"/>
      <c r="C8" s="137"/>
      <c r="D8" s="138"/>
      <c r="E8" s="148" t="s">
        <v>10</v>
      </c>
      <c r="F8" s="149"/>
      <c r="G8" s="149"/>
      <c r="H8" s="150"/>
    </row>
    <row r="9" spans="1:8" ht="20.100000000000001" customHeight="1">
      <c r="A9" s="136" t="s">
        <v>139</v>
      </c>
      <c r="B9" s="137"/>
      <c r="C9" s="137"/>
      <c r="D9" s="138"/>
      <c r="E9" s="168" t="s">
        <v>8</v>
      </c>
      <c r="F9" s="166" t="s">
        <v>6</v>
      </c>
      <c r="G9" s="3" t="s">
        <v>23</v>
      </c>
      <c r="H9" s="4" t="s">
        <v>7</v>
      </c>
    </row>
    <row r="10" spans="1:8" ht="20.100000000000001" customHeight="1" thickBot="1">
      <c r="A10" s="163" t="s">
        <v>175</v>
      </c>
      <c r="B10" s="164"/>
      <c r="C10" s="164"/>
      <c r="D10" s="165"/>
      <c r="E10" s="169"/>
      <c r="F10" s="167"/>
      <c r="G10" s="5" t="s">
        <v>51</v>
      </c>
      <c r="H10" s="8">
        <f>BDI!I6</f>
        <v>0.26431472819274493</v>
      </c>
    </row>
    <row r="11" spans="1:8" ht="3.75" customHeight="1" thickBot="1">
      <c r="A11" s="134"/>
      <c r="B11" s="134"/>
      <c r="C11" s="134"/>
      <c r="D11" s="134"/>
      <c r="E11" s="134"/>
      <c r="F11" s="134"/>
      <c r="G11" s="134"/>
      <c r="H11" s="134"/>
    </row>
    <row r="12" spans="1:8" ht="38.25">
      <c r="A12" s="11" t="s">
        <v>0</v>
      </c>
      <c r="B12" s="12" t="s">
        <v>5</v>
      </c>
      <c r="C12" s="12" t="s">
        <v>1</v>
      </c>
      <c r="D12" s="12" t="s">
        <v>3</v>
      </c>
      <c r="E12" s="12" t="s">
        <v>2</v>
      </c>
      <c r="F12" s="13" t="s">
        <v>144</v>
      </c>
      <c r="G12" s="13" t="s">
        <v>145</v>
      </c>
      <c r="H12" s="14" t="s">
        <v>9</v>
      </c>
    </row>
    <row r="13" spans="1:8">
      <c r="A13" s="98" t="s">
        <v>86</v>
      </c>
      <c r="B13" s="15"/>
      <c r="C13" s="110" t="s">
        <v>26</v>
      </c>
      <c r="D13" s="139"/>
      <c r="E13" s="140"/>
      <c r="F13" s="140"/>
      <c r="G13" s="140"/>
      <c r="H13" s="141"/>
    </row>
    <row r="14" spans="1:8" ht="11.25" customHeight="1">
      <c r="A14" s="21" t="s">
        <v>12</v>
      </c>
      <c r="B14" s="15" t="s">
        <v>109</v>
      </c>
      <c r="C14" s="109" t="s">
        <v>110</v>
      </c>
      <c r="D14" s="20" t="s">
        <v>22</v>
      </c>
      <c r="E14" s="18">
        <f>3*1.5</f>
        <v>4.5</v>
      </c>
      <c r="F14" s="103">
        <v>305.89</v>
      </c>
      <c r="G14" s="101">
        <f>ROUND(F14+(F14*$H$10),2)</f>
        <v>386.74</v>
      </c>
      <c r="H14" s="102">
        <f>ROUND(E14*G14,2)</f>
        <v>1740.33</v>
      </c>
    </row>
    <row r="15" spans="1:8" ht="24" customHeight="1">
      <c r="A15" s="21" t="s">
        <v>89</v>
      </c>
      <c r="B15" s="15" t="s">
        <v>100</v>
      </c>
      <c r="C15" s="109" t="s">
        <v>103</v>
      </c>
      <c r="D15" s="21" t="s">
        <v>101</v>
      </c>
      <c r="E15" s="18">
        <v>639.14</v>
      </c>
      <c r="F15" s="103">
        <v>0.38</v>
      </c>
      <c r="G15" s="101">
        <f>ROUND(F15+(F15*$H$10),2)</f>
        <v>0.48</v>
      </c>
      <c r="H15" s="102">
        <f>ROUND(E15*G15,2)</f>
        <v>306.79000000000002</v>
      </c>
    </row>
    <row r="16" spans="1:8" ht="12.75" customHeight="1">
      <c r="A16" s="21" t="s">
        <v>90</v>
      </c>
      <c r="B16" s="15" t="s">
        <v>102</v>
      </c>
      <c r="C16" s="109" t="s">
        <v>106</v>
      </c>
      <c r="D16" s="21" t="s">
        <v>104</v>
      </c>
      <c r="E16" s="18">
        <v>5</v>
      </c>
      <c r="F16" s="103">
        <v>10.16</v>
      </c>
      <c r="G16" s="101">
        <f>ROUND(F16+(F16*$H$10),2)</f>
        <v>12.85</v>
      </c>
      <c r="H16" s="102">
        <f>ROUND(E16*G16,2)</f>
        <v>64.25</v>
      </c>
    </row>
    <row r="17" spans="1:10" ht="12" customHeight="1">
      <c r="A17" s="21" t="s">
        <v>91</v>
      </c>
      <c r="B17" s="15" t="s">
        <v>107</v>
      </c>
      <c r="C17" s="109" t="s">
        <v>108</v>
      </c>
      <c r="D17" s="21" t="s">
        <v>11</v>
      </c>
      <c r="E17" s="18">
        <v>12</v>
      </c>
      <c r="F17" s="103">
        <v>426.86</v>
      </c>
      <c r="G17" s="101">
        <f>ROUND(F17+(F17*$H$10),2)</f>
        <v>539.69000000000005</v>
      </c>
      <c r="H17" s="102">
        <f>ROUND(E17*G17,2)</f>
        <v>6476.28</v>
      </c>
    </row>
    <row r="18" spans="1:10" ht="12.75" customHeight="1">
      <c r="A18" s="21" t="s">
        <v>105</v>
      </c>
      <c r="B18" s="15" t="s">
        <v>87</v>
      </c>
      <c r="C18" s="109" t="s">
        <v>88</v>
      </c>
      <c r="D18" s="15" t="s">
        <v>18</v>
      </c>
      <c r="E18" s="21">
        <f>5.26+7.57</f>
        <v>12.83</v>
      </c>
      <c r="F18" s="102">
        <v>2.2400000000000002</v>
      </c>
      <c r="G18" s="101">
        <f>ROUND(F18+(F18*$H$10),2)</f>
        <v>2.83</v>
      </c>
      <c r="H18" s="102">
        <f>ROUND(E18*G18,2)</f>
        <v>36.31</v>
      </c>
    </row>
    <row r="19" spans="1:10" ht="12.75" customHeight="1">
      <c r="A19" s="151"/>
      <c r="B19" s="152"/>
      <c r="C19" s="152"/>
      <c r="D19" s="152"/>
      <c r="E19" s="152"/>
      <c r="F19" s="152"/>
      <c r="G19" s="153"/>
      <c r="H19" s="105">
        <f>SUM(H14:H18)</f>
        <v>8623.9599999999991</v>
      </c>
    </row>
    <row r="20" spans="1:10" ht="12.75" customHeight="1">
      <c r="A20" s="98" t="s">
        <v>13</v>
      </c>
      <c r="B20" s="15"/>
      <c r="C20" s="16" t="s">
        <v>25</v>
      </c>
      <c r="D20" s="139"/>
      <c r="E20" s="140"/>
      <c r="F20" s="140"/>
      <c r="G20" s="140"/>
      <c r="H20" s="141"/>
    </row>
    <row r="21" spans="1:10" ht="22.5">
      <c r="A21" s="21"/>
      <c r="B21" s="23" t="s">
        <v>27</v>
      </c>
      <c r="C21" s="24" t="s">
        <v>28</v>
      </c>
      <c r="D21" s="20"/>
      <c r="E21" s="18"/>
      <c r="F21" s="103"/>
      <c r="G21" s="101"/>
      <c r="H21" s="102"/>
    </row>
    <row r="22" spans="1:10" ht="21.75" customHeight="1">
      <c r="A22" s="21" t="s">
        <v>92</v>
      </c>
      <c r="B22" s="15" t="s">
        <v>113</v>
      </c>
      <c r="C22" s="109" t="s">
        <v>116</v>
      </c>
      <c r="D22" s="22" t="s">
        <v>14</v>
      </c>
      <c r="E22" s="18">
        <f>100*4*2</f>
        <v>800</v>
      </c>
      <c r="F22" s="102">
        <v>9.68</v>
      </c>
      <c r="G22" s="101">
        <f t="shared" ref="G22:G30" si="0">ROUND(F22+(F22*$H$10),2)</f>
        <v>12.24</v>
      </c>
      <c r="H22" s="102">
        <f t="shared" ref="H22:H30" si="1">ROUND(E22*G22,2)</f>
        <v>9792</v>
      </c>
    </row>
    <row r="23" spans="1:10" ht="21.75" customHeight="1">
      <c r="A23" s="21" t="s">
        <v>93</v>
      </c>
      <c r="B23" s="15" t="s">
        <v>114</v>
      </c>
      <c r="C23" s="109" t="s">
        <v>115</v>
      </c>
      <c r="D23" s="22" t="s">
        <v>14</v>
      </c>
      <c r="E23" s="18">
        <f>(100*4*((0.6+1.83)/2))</f>
        <v>486.00000000000006</v>
      </c>
      <c r="F23" s="102">
        <v>11.06</v>
      </c>
      <c r="G23" s="101">
        <f t="shared" si="0"/>
        <v>13.98</v>
      </c>
      <c r="H23" s="102">
        <f t="shared" si="1"/>
        <v>6794.28</v>
      </c>
    </row>
    <row r="24" spans="1:10" ht="21.75" customHeight="1">
      <c r="A24" s="21" t="s">
        <v>94</v>
      </c>
      <c r="B24" s="15" t="s">
        <v>111</v>
      </c>
      <c r="C24" s="109" t="s">
        <v>112</v>
      </c>
      <c r="D24" s="22" t="s">
        <v>14</v>
      </c>
      <c r="E24" s="18">
        <f>100*4*0.4</f>
        <v>160</v>
      </c>
      <c r="F24" s="102">
        <v>12.45</v>
      </c>
      <c r="G24" s="101">
        <f>ROUND(F24+(F24*$H$10),2)</f>
        <v>15.74</v>
      </c>
      <c r="H24" s="102">
        <f>ROUND(E24*G24,2)</f>
        <v>2518.4</v>
      </c>
    </row>
    <row r="25" spans="1:10" ht="36" customHeight="1">
      <c r="A25" s="21" t="s">
        <v>95</v>
      </c>
      <c r="B25" s="15" t="s">
        <v>153</v>
      </c>
      <c r="C25" s="109" t="s">
        <v>154</v>
      </c>
      <c r="D25" s="22" t="s">
        <v>14</v>
      </c>
      <c r="E25" s="18">
        <f>SUM(E22:E24)</f>
        <v>1446</v>
      </c>
      <c r="F25" s="102">
        <v>1.69</v>
      </c>
      <c r="G25" s="101">
        <f>ROUND(F25+(F25*$H$10),2)</f>
        <v>2.14</v>
      </c>
      <c r="H25" s="102">
        <f>ROUND(E25*G25,2)</f>
        <v>3094.44</v>
      </c>
    </row>
    <row r="26" spans="1:10" ht="12" customHeight="1">
      <c r="A26" s="21" t="s">
        <v>96</v>
      </c>
      <c r="B26" s="15" t="s">
        <v>127</v>
      </c>
      <c r="C26" s="109" t="s">
        <v>128</v>
      </c>
      <c r="D26" s="22" t="s">
        <v>41</v>
      </c>
      <c r="E26" s="18">
        <v>100</v>
      </c>
      <c r="F26" s="102">
        <v>5.61</v>
      </c>
      <c r="G26" s="101">
        <f>ROUND(F26+(F26*$H$10),2)</f>
        <v>7.09</v>
      </c>
      <c r="H26" s="102">
        <f>ROUND(E26*G26,2)</f>
        <v>709</v>
      </c>
    </row>
    <row r="27" spans="1:10" ht="21.75" customHeight="1">
      <c r="A27" s="21" t="s">
        <v>95</v>
      </c>
      <c r="B27" s="15" t="s">
        <v>121</v>
      </c>
      <c r="C27" s="109" t="s">
        <v>122</v>
      </c>
      <c r="D27" s="22" t="s">
        <v>15</v>
      </c>
      <c r="E27" s="18">
        <f>SUM(E22:E24)*10</f>
        <v>14460</v>
      </c>
      <c r="F27" s="102">
        <v>1.03</v>
      </c>
      <c r="G27" s="101">
        <f t="shared" si="0"/>
        <v>1.3</v>
      </c>
      <c r="H27" s="102">
        <f t="shared" si="1"/>
        <v>18798</v>
      </c>
    </row>
    <row r="28" spans="1:10" ht="11.25" customHeight="1">
      <c r="A28" s="21" t="s">
        <v>96</v>
      </c>
      <c r="B28" s="15" t="s">
        <v>117</v>
      </c>
      <c r="C28" s="109" t="s">
        <v>118</v>
      </c>
      <c r="D28" s="22" t="s">
        <v>11</v>
      </c>
      <c r="E28" s="18">
        <f>100*4</f>
        <v>400</v>
      </c>
      <c r="F28" s="102">
        <v>1.28</v>
      </c>
      <c r="G28" s="101">
        <f t="shared" si="0"/>
        <v>1.62</v>
      </c>
      <c r="H28" s="102">
        <f t="shared" si="1"/>
        <v>648</v>
      </c>
    </row>
    <row r="29" spans="1:10" ht="10.5" customHeight="1">
      <c r="A29" s="21" t="s">
        <v>97</v>
      </c>
      <c r="B29" s="15" t="s">
        <v>138</v>
      </c>
      <c r="C29" s="109" t="s">
        <v>146</v>
      </c>
      <c r="D29" s="22" t="s">
        <v>14</v>
      </c>
      <c r="E29" s="18">
        <f>0.1*100</f>
        <v>10</v>
      </c>
      <c r="F29" s="102">
        <v>90.12</v>
      </c>
      <c r="G29" s="101">
        <f t="shared" si="0"/>
        <v>113.94</v>
      </c>
      <c r="H29" s="102">
        <f t="shared" si="1"/>
        <v>1139.4000000000001</v>
      </c>
      <c r="J29" s="10"/>
    </row>
    <row r="30" spans="1:10" ht="12" customHeight="1">
      <c r="A30" s="21" t="s">
        <v>98</v>
      </c>
      <c r="B30" s="15" t="s">
        <v>119</v>
      </c>
      <c r="C30" s="109" t="s">
        <v>120</v>
      </c>
      <c r="D30" s="22" t="s">
        <v>14</v>
      </c>
      <c r="E30" s="18">
        <f>(100*4*4)-((100*2*2))+0.2*100*4</f>
        <v>1280</v>
      </c>
      <c r="F30" s="102">
        <v>23.67</v>
      </c>
      <c r="G30" s="101">
        <f t="shared" si="0"/>
        <v>29.93</v>
      </c>
      <c r="H30" s="102">
        <f t="shared" si="1"/>
        <v>38310.400000000001</v>
      </c>
      <c r="J30" s="10"/>
    </row>
    <row r="31" spans="1:10" ht="12" customHeight="1">
      <c r="A31" s="113"/>
      <c r="B31" s="114"/>
      <c r="C31" s="114"/>
      <c r="D31" s="114"/>
      <c r="E31" s="114"/>
      <c r="F31" s="114"/>
      <c r="G31" s="114"/>
      <c r="H31" s="117">
        <f>SUM(H22:H30)</f>
        <v>81803.92</v>
      </c>
      <c r="J31" s="10"/>
    </row>
    <row r="32" spans="1:10" ht="15" customHeight="1">
      <c r="A32" s="116" t="s">
        <v>83</v>
      </c>
      <c r="B32" s="23" t="s">
        <v>16</v>
      </c>
      <c r="C32" s="24" t="s">
        <v>29</v>
      </c>
      <c r="D32" s="22"/>
      <c r="E32" s="18"/>
      <c r="F32" s="102"/>
      <c r="G32" s="101"/>
      <c r="H32" s="102"/>
      <c r="J32" s="10"/>
    </row>
    <row r="33" spans="1:10" ht="33.75">
      <c r="A33" s="21" t="s">
        <v>17</v>
      </c>
      <c r="B33" s="15" t="s">
        <v>124</v>
      </c>
      <c r="C33" s="19" t="s">
        <v>123</v>
      </c>
      <c r="D33" s="17" t="s">
        <v>18</v>
      </c>
      <c r="E33" s="18">
        <v>100</v>
      </c>
      <c r="F33" s="102">
        <v>364.41</v>
      </c>
      <c r="G33" s="101">
        <f>ROUND(F33+(F33*$H$10),2)</f>
        <v>460.73</v>
      </c>
      <c r="H33" s="102">
        <f>ROUND(E33*G33,2)</f>
        <v>46073</v>
      </c>
      <c r="J33" s="10"/>
    </row>
    <row r="34" spans="1:10" ht="22.5" customHeight="1">
      <c r="A34" s="21" t="s">
        <v>84</v>
      </c>
      <c r="B34" s="15" t="s">
        <v>125</v>
      </c>
      <c r="C34" s="19" t="s">
        <v>129</v>
      </c>
      <c r="D34" s="22" t="s">
        <v>126</v>
      </c>
      <c r="E34" s="18">
        <v>2</v>
      </c>
      <c r="F34" s="102">
        <v>1285.6300000000001</v>
      </c>
      <c r="G34" s="101">
        <f>ROUND(F34+(F34*$H$10),2)</f>
        <v>1625.44</v>
      </c>
      <c r="H34" s="102">
        <f>ROUND(E34*G34,2)</f>
        <v>3250.88</v>
      </c>
      <c r="J34" s="10"/>
    </row>
    <row r="35" spans="1:10" ht="21" customHeight="1">
      <c r="A35" s="21" t="s">
        <v>85</v>
      </c>
      <c r="B35" s="15" t="s">
        <v>130</v>
      </c>
      <c r="C35" s="19" t="s">
        <v>131</v>
      </c>
      <c r="D35" s="22" t="s">
        <v>132</v>
      </c>
      <c r="E35" s="18">
        <f>50*2*3.18</f>
        <v>318</v>
      </c>
      <c r="F35" s="102">
        <v>29.78</v>
      </c>
      <c r="G35" s="101">
        <f>ROUND(F35+(F35*$H$10),2)</f>
        <v>37.65</v>
      </c>
      <c r="H35" s="102">
        <f>ROUND(E35*G35,2)</f>
        <v>11972.7</v>
      </c>
      <c r="J35" s="10"/>
    </row>
    <row r="36" spans="1:10" ht="21" customHeight="1">
      <c r="A36" s="21" t="s">
        <v>157</v>
      </c>
      <c r="B36" s="15" t="s">
        <v>159</v>
      </c>
      <c r="C36" s="19" t="s">
        <v>160</v>
      </c>
      <c r="D36" s="22" t="s">
        <v>14</v>
      </c>
      <c r="E36" s="18">
        <f>(0.65*0.2*4)+0.3*0.2*2.4*4</f>
        <v>1.0960000000000001</v>
      </c>
      <c r="F36" s="102">
        <v>444.03</v>
      </c>
      <c r="G36" s="101">
        <f>ROUND(F36+(F36*$H$10),2)</f>
        <v>561.39</v>
      </c>
      <c r="H36" s="102">
        <f>ROUND(E36*G36,2)</f>
        <v>615.28</v>
      </c>
      <c r="J36" s="10"/>
    </row>
    <row r="37" spans="1:10" ht="21" customHeight="1">
      <c r="A37" s="21" t="s">
        <v>158</v>
      </c>
      <c r="B37" s="15" t="s">
        <v>161</v>
      </c>
      <c r="C37" s="19" t="s">
        <v>162</v>
      </c>
      <c r="D37" s="22" t="s">
        <v>11</v>
      </c>
      <c r="E37" s="111">
        <f>(0.65*2*4)+0.2*2.4*4+0.3*2.4*4</f>
        <v>10</v>
      </c>
      <c r="F37" s="102">
        <v>41.39</v>
      </c>
      <c r="G37" s="101">
        <f>ROUND(F37+(F37*$H$10),2)</f>
        <v>52.33</v>
      </c>
      <c r="H37" s="102">
        <f>ROUND(E37*G37,2)</f>
        <v>523.29999999999995</v>
      </c>
      <c r="J37" s="10"/>
    </row>
    <row r="38" spans="1:10" ht="12.75" customHeight="1">
      <c r="A38" s="21"/>
      <c r="B38" s="104"/>
      <c r="C38" s="130"/>
      <c r="D38" s="104"/>
      <c r="E38" s="104"/>
      <c r="F38" s="104"/>
      <c r="G38" s="104"/>
      <c r="H38" s="105">
        <f>SUM(H33:H37)</f>
        <v>62435.16</v>
      </c>
      <c r="J38" s="10"/>
    </row>
    <row r="39" spans="1:10" ht="12.75" customHeight="1">
      <c r="A39" s="106"/>
      <c r="B39" s="107"/>
      <c r="C39" s="107"/>
      <c r="D39" s="107"/>
      <c r="E39" s="107"/>
      <c r="F39" s="107"/>
      <c r="G39" s="108"/>
      <c r="H39" s="105"/>
      <c r="J39" s="10"/>
    </row>
    <row r="40" spans="1:10" ht="12.75" customHeight="1">
      <c r="A40" s="154" t="s">
        <v>19</v>
      </c>
      <c r="B40" s="155"/>
      <c r="C40" s="155"/>
      <c r="D40" s="155"/>
      <c r="E40" s="155"/>
      <c r="F40" s="155"/>
      <c r="G40" s="156"/>
      <c r="H40" s="100">
        <f>ROUND(H31+H19+H38,2)</f>
        <v>152863.04000000001</v>
      </c>
      <c r="J40" s="9"/>
    </row>
    <row r="41" spans="1:10" ht="14.25" customHeight="1">
      <c r="A41" s="6"/>
      <c r="B41" s="6"/>
      <c r="C41" s="6"/>
      <c r="D41" s="6"/>
      <c r="E41" s="6"/>
      <c r="F41" s="6"/>
      <c r="G41" s="6"/>
      <c r="H41" s="7"/>
    </row>
  </sheetData>
  <mergeCells count="18">
    <mergeCell ref="A40:G40"/>
    <mergeCell ref="A4:H4"/>
    <mergeCell ref="F6:H6"/>
    <mergeCell ref="D13:H13"/>
    <mergeCell ref="A10:D10"/>
    <mergeCell ref="A9:D9"/>
    <mergeCell ref="F9:F10"/>
    <mergeCell ref="E9:E10"/>
    <mergeCell ref="F7:H7"/>
    <mergeCell ref="A1:H2"/>
    <mergeCell ref="A11:H11"/>
    <mergeCell ref="A3:H3"/>
    <mergeCell ref="A8:D8"/>
    <mergeCell ref="D20:H20"/>
    <mergeCell ref="A6:E6"/>
    <mergeCell ref="A7:E7"/>
    <mergeCell ref="E8:H8"/>
    <mergeCell ref="A19:G19"/>
  </mergeCells>
  <phoneticPr fontId="2" type="noConversion"/>
  <pageMargins left="0.6" right="0.19685039370078741" top="0.59" bottom="0.39370078740157483" header="0" footer="0"/>
  <pageSetup paperSize="9" scale="85" orientation="landscape" horizontalDpi="4294967295" r:id="rId1"/>
  <headerFooter alignWithMargins="0"/>
  <drawing r:id="rId2"/>
  <legacyDrawing r:id="rId3"/>
  <oleObjects>
    <oleObject shapeId="4141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O9"/>
  <sheetViews>
    <sheetView topLeftCell="A10" workbookViewId="0">
      <selection activeCell="D21" sqref="D21"/>
    </sheetView>
  </sheetViews>
  <sheetFormatPr defaultRowHeight="12.75"/>
  <cols>
    <col min="1" max="1" width="12.28515625" customWidth="1"/>
    <col min="2" max="2" width="18.85546875" customWidth="1"/>
    <col min="3" max="3" width="57.140625" customWidth="1"/>
    <col min="5" max="5" width="15.85546875" customWidth="1"/>
    <col min="6" max="6" width="16.42578125" customWidth="1"/>
    <col min="7" max="7" width="22" customWidth="1"/>
    <col min="9" max="9" width="15" customWidth="1"/>
  </cols>
  <sheetData>
    <row r="1" spans="1:15" ht="26.25" customHeight="1">
      <c r="A1" s="25" t="s">
        <v>30</v>
      </c>
      <c r="B1" s="26" t="s">
        <v>31</v>
      </c>
      <c r="C1" s="112" t="s">
        <v>32</v>
      </c>
      <c r="D1" s="27" t="s">
        <v>33</v>
      </c>
      <c r="E1" s="28"/>
      <c r="F1" s="29"/>
      <c r="G1" s="30"/>
      <c r="I1" s="128" t="s">
        <v>156</v>
      </c>
    </row>
    <row r="2" spans="1:15">
      <c r="A2" s="31" t="s">
        <v>34</v>
      </c>
      <c r="B2" s="32" t="s">
        <v>5</v>
      </c>
      <c r="C2" s="32" t="s">
        <v>1</v>
      </c>
      <c r="D2" s="33" t="s">
        <v>3</v>
      </c>
      <c r="E2" s="34" t="s">
        <v>35</v>
      </c>
      <c r="F2" s="35" t="s">
        <v>36</v>
      </c>
      <c r="G2" s="36" t="s">
        <v>37</v>
      </c>
      <c r="I2" s="127">
        <f>2000/1500</f>
        <v>1.3333333333333333</v>
      </c>
    </row>
    <row r="3" spans="1:15" ht="33.75">
      <c r="A3" s="37" t="s">
        <v>38</v>
      </c>
      <c r="B3" s="38" t="s">
        <v>39</v>
      </c>
      <c r="C3" s="118" t="s">
        <v>40</v>
      </c>
      <c r="D3" s="40" t="s">
        <v>41</v>
      </c>
      <c r="E3" s="41">
        <f>0.38*I2</f>
        <v>0.5066666666666666</v>
      </c>
      <c r="F3" s="42">
        <v>102.85</v>
      </c>
      <c r="G3" s="43">
        <f>E3*F3</f>
        <v>52.11066666666666</v>
      </c>
      <c r="L3">
        <v>1500</v>
      </c>
      <c r="M3">
        <v>0.38</v>
      </c>
      <c r="O3">
        <f>(L4*M3)/L3</f>
        <v>0.50666666666666671</v>
      </c>
    </row>
    <row r="4" spans="1:15">
      <c r="A4" s="37" t="s">
        <v>42</v>
      </c>
      <c r="B4" s="38" t="s">
        <v>43</v>
      </c>
      <c r="C4" s="39" t="s">
        <v>44</v>
      </c>
      <c r="D4" s="40" t="s">
        <v>18</v>
      </c>
      <c r="E4" s="41">
        <f>1.02*I2</f>
        <v>1.3599999999999999</v>
      </c>
      <c r="F4" s="42">
        <v>425.08</v>
      </c>
      <c r="G4" s="43"/>
      <c r="L4">
        <v>2000</v>
      </c>
    </row>
    <row r="5" spans="1:15" ht="22.5">
      <c r="A5" s="37" t="s">
        <v>45</v>
      </c>
      <c r="B5" s="38" t="s">
        <v>147</v>
      </c>
      <c r="C5" s="118" t="s">
        <v>148</v>
      </c>
      <c r="D5" s="40" t="s">
        <v>14</v>
      </c>
      <c r="E5" s="41">
        <f>0.059*I2</f>
        <v>7.8666666666666663E-2</v>
      </c>
      <c r="F5" s="42">
        <v>319</v>
      </c>
      <c r="G5" s="43">
        <f>E5*F5</f>
        <v>25.094666666666665</v>
      </c>
    </row>
    <row r="6" spans="1:15">
      <c r="A6" s="37" t="s">
        <v>45</v>
      </c>
      <c r="B6" s="38" t="s">
        <v>46</v>
      </c>
      <c r="C6" s="39" t="s">
        <v>47</v>
      </c>
      <c r="D6" s="40" t="s">
        <v>41</v>
      </c>
      <c r="E6" s="41">
        <f>8.74*I2</f>
        <v>11.653333333333332</v>
      </c>
      <c r="F6" s="42">
        <v>14.76</v>
      </c>
      <c r="G6" s="43">
        <f>E6*F6</f>
        <v>172.00319999999999</v>
      </c>
    </row>
    <row r="7" spans="1:15">
      <c r="A7" s="37" t="s">
        <v>45</v>
      </c>
      <c r="B7" s="38" t="s">
        <v>48</v>
      </c>
      <c r="C7" s="39" t="s">
        <v>49</v>
      </c>
      <c r="D7" s="40" t="s">
        <v>41</v>
      </c>
      <c r="E7" s="41">
        <f>4.18*I2</f>
        <v>5.5733333333333324</v>
      </c>
      <c r="F7" s="42">
        <v>20.67</v>
      </c>
      <c r="G7" s="43">
        <f>E7*F7</f>
        <v>115.20079999999999</v>
      </c>
    </row>
    <row r="8" spans="1:15">
      <c r="A8" s="44"/>
      <c r="B8" s="45"/>
      <c r="C8" s="46"/>
      <c r="D8" s="47"/>
      <c r="E8" s="48"/>
      <c r="F8" s="49"/>
      <c r="G8" s="50"/>
    </row>
    <row r="9" spans="1:15">
      <c r="A9" s="51" t="s">
        <v>31</v>
      </c>
      <c r="B9" s="52"/>
      <c r="C9" s="53"/>
      <c r="D9" s="54"/>
      <c r="E9" s="55"/>
      <c r="F9" s="56"/>
      <c r="G9" s="129">
        <f>ROUND(SUM(G3:G7),2)</f>
        <v>364.41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3:I21"/>
  <sheetViews>
    <sheetView workbookViewId="0">
      <selection activeCell="F17" sqref="F17"/>
    </sheetView>
  </sheetViews>
  <sheetFormatPr defaultRowHeight="12.75"/>
  <cols>
    <col min="2" max="3" width="12.42578125" customWidth="1"/>
    <col min="9" max="9" width="14.7109375" customWidth="1"/>
  </cols>
  <sheetData>
    <row r="3" spans="1:9">
      <c r="A3" s="177" t="s">
        <v>50</v>
      </c>
      <c r="B3" s="177"/>
      <c r="C3" s="177"/>
      <c r="D3" s="177"/>
      <c r="E3" s="177"/>
      <c r="F3" s="177"/>
      <c r="G3" s="177"/>
      <c r="H3" s="177"/>
      <c r="I3" s="177"/>
    </row>
    <row r="4" spans="1:9" ht="13.5" thickBot="1">
      <c r="A4" s="178"/>
      <c r="B4" s="178"/>
      <c r="C4" s="178"/>
      <c r="D4" s="178"/>
      <c r="E4" s="178"/>
      <c r="F4" s="178"/>
      <c r="G4" s="178"/>
      <c r="H4" s="178"/>
      <c r="I4" s="178"/>
    </row>
    <row r="5" spans="1:9">
      <c r="A5" s="179" t="s">
        <v>51</v>
      </c>
      <c r="B5" s="180"/>
      <c r="C5" s="180"/>
      <c r="D5" s="183" t="s">
        <v>52</v>
      </c>
      <c r="E5" s="184"/>
      <c r="F5" s="185"/>
      <c r="G5" s="186"/>
      <c r="H5" s="57" t="s">
        <v>53</v>
      </c>
      <c r="I5" s="58">
        <f>IF(H5="s",((1+D10+D7+D8)*(1+D9)*((1+D11)/(1-D13)))-1,0)</f>
        <v>0</v>
      </c>
    </row>
    <row r="6" spans="1:9" ht="13.5" thickBot="1">
      <c r="A6" s="181"/>
      <c r="B6" s="182"/>
      <c r="C6" s="182"/>
      <c r="D6" s="187" t="s">
        <v>54</v>
      </c>
      <c r="E6" s="188"/>
      <c r="F6" s="189"/>
      <c r="G6" s="190"/>
      <c r="H6" s="59" t="s">
        <v>55</v>
      </c>
      <c r="I6" s="60">
        <f>IF(H6="s",((1+D10+D7+D8)*(1+D9)*((1+D11)/(1-D13-D12)))-1,0)</f>
        <v>0.26431472819274493</v>
      </c>
    </row>
    <row r="7" spans="1:9">
      <c r="A7" s="61" t="s">
        <v>56</v>
      </c>
      <c r="B7" s="62"/>
      <c r="C7" s="63" t="s">
        <v>57</v>
      </c>
      <c r="D7" s="191">
        <v>6.0000000000000001E-3</v>
      </c>
      <c r="E7" s="192"/>
      <c r="F7" s="193" t="s">
        <v>58</v>
      </c>
      <c r="G7" s="194"/>
      <c r="H7" s="194"/>
      <c r="I7" s="195"/>
    </row>
    <row r="8" spans="1:9">
      <c r="A8" s="64" t="s">
        <v>59</v>
      </c>
      <c r="B8" s="65"/>
      <c r="C8" s="99" t="s">
        <v>60</v>
      </c>
      <c r="D8" s="173">
        <v>8.6999999999999994E-3</v>
      </c>
      <c r="E8" s="174"/>
      <c r="F8" s="196"/>
      <c r="G8" s="197"/>
      <c r="H8" s="197"/>
      <c r="I8" s="198"/>
    </row>
    <row r="9" spans="1:9">
      <c r="A9" s="67" t="s">
        <v>61</v>
      </c>
      <c r="B9" s="65"/>
      <c r="C9" s="66" t="s">
        <v>62</v>
      </c>
      <c r="D9" s="173">
        <v>1.21E-2</v>
      </c>
      <c r="E9" s="174"/>
      <c r="F9" s="196"/>
      <c r="G9" s="197"/>
      <c r="H9" s="197"/>
      <c r="I9" s="198"/>
    </row>
    <row r="10" spans="1:9">
      <c r="A10" s="64" t="s">
        <v>63</v>
      </c>
      <c r="B10" s="65"/>
      <c r="C10" s="66" t="s">
        <v>64</v>
      </c>
      <c r="D10" s="173">
        <v>4.6699999999999998E-2</v>
      </c>
      <c r="E10" s="174"/>
      <c r="F10" s="196"/>
      <c r="G10" s="197"/>
      <c r="H10" s="197"/>
      <c r="I10" s="198"/>
    </row>
    <row r="11" spans="1:9">
      <c r="A11" s="64" t="s">
        <v>65</v>
      </c>
      <c r="B11" s="65"/>
      <c r="C11" s="66" t="s">
        <v>66</v>
      </c>
      <c r="D11" s="173">
        <v>8.6900000000000005E-2</v>
      </c>
      <c r="E11" s="174"/>
      <c r="F11" s="196"/>
      <c r="G11" s="197"/>
      <c r="H11" s="197"/>
      <c r="I11" s="198"/>
    </row>
    <row r="12" spans="1:9">
      <c r="A12" s="64" t="s">
        <v>67</v>
      </c>
      <c r="B12" s="65"/>
      <c r="C12" s="66">
        <v>0.02</v>
      </c>
      <c r="D12" s="173">
        <v>0.02</v>
      </c>
      <c r="E12" s="174"/>
      <c r="F12" s="196"/>
      <c r="G12" s="197"/>
      <c r="H12" s="197"/>
      <c r="I12" s="198"/>
    </row>
    <row r="13" spans="1:9" ht="13.5" thickBot="1">
      <c r="A13" s="68" t="s">
        <v>68</v>
      </c>
      <c r="B13" s="69"/>
      <c r="C13" s="70">
        <f>(3+0.65+2)/100</f>
        <v>5.6500000000000002E-2</v>
      </c>
      <c r="D13" s="175">
        <v>5.6500000000000002E-2</v>
      </c>
      <c r="E13" s="176"/>
      <c r="F13" s="199"/>
      <c r="G13" s="200"/>
      <c r="H13" s="200"/>
      <c r="I13" s="201"/>
    </row>
    <row r="17" spans="1:9">
      <c r="A17" s="71"/>
    </row>
    <row r="18" spans="1:9">
      <c r="A18" s="71"/>
    </row>
    <row r="19" spans="1:9">
      <c r="A19" s="72"/>
    </row>
    <row r="20" spans="1:9">
      <c r="A20" s="71" t="s">
        <v>176</v>
      </c>
    </row>
    <row r="21" spans="1:9">
      <c r="I21" t="s">
        <v>69</v>
      </c>
    </row>
  </sheetData>
  <mergeCells count="12">
    <mergeCell ref="D10:E10"/>
    <mergeCell ref="D11:E11"/>
    <mergeCell ref="D12:E12"/>
    <mergeCell ref="D13:E13"/>
    <mergeCell ref="A3:I4"/>
    <mergeCell ref="A5:C6"/>
    <mergeCell ref="D5:G5"/>
    <mergeCell ref="D6:G6"/>
    <mergeCell ref="D7:E7"/>
    <mergeCell ref="F7:I13"/>
    <mergeCell ref="D8:E8"/>
    <mergeCell ref="D9:E9"/>
  </mergeCells>
  <conditionalFormatting sqref="H5:H6">
    <cfRule type="cellIs" dxfId="0" priority="1" stopIfTrue="1" operator="notEqual">
      <formula>IF(H6="x",0)</formula>
    </cfRule>
  </conditionalFormatting>
  <pageMargins left="0.511811024" right="0.511811024" top="0.78740157499999996" bottom="0.78740157499999996" header="0.31496062000000002" footer="0.31496062000000002"/>
  <legacyDrawing r:id="rId1"/>
  <oleObjects>
    <oleObject shapeId="6145" r:id="rId2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J26"/>
  <sheetViews>
    <sheetView topLeftCell="A7" workbookViewId="0">
      <selection activeCell="G15" sqref="G15:H15"/>
    </sheetView>
  </sheetViews>
  <sheetFormatPr defaultRowHeight="12.75"/>
  <cols>
    <col min="1" max="1" width="8.7109375" customWidth="1"/>
    <col min="2" max="2" width="41.28515625" customWidth="1"/>
    <col min="3" max="3" width="14.7109375" customWidth="1"/>
    <col min="4" max="4" width="15.7109375" customWidth="1"/>
    <col min="5" max="5" width="16.85546875" customWidth="1"/>
    <col min="6" max="6" width="16.5703125" customWidth="1"/>
    <col min="8" max="8" width="8" customWidth="1"/>
    <col min="9" max="9" width="18.140625" customWidth="1"/>
  </cols>
  <sheetData>
    <row r="1" spans="1:10">
      <c r="A1" s="73"/>
      <c r="B1" s="74"/>
      <c r="C1" s="74"/>
      <c r="D1" s="74"/>
      <c r="E1" s="74"/>
      <c r="F1" s="74"/>
      <c r="G1" s="74"/>
      <c r="H1" s="74"/>
      <c r="I1" s="74"/>
      <c r="J1" s="75"/>
    </row>
    <row r="2" spans="1:10" ht="20.25">
      <c r="A2" s="76"/>
      <c r="B2" s="226" t="s">
        <v>24</v>
      </c>
      <c r="C2" s="226"/>
      <c r="D2" s="226"/>
      <c r="E2" s="226"/>
      <c r="F2" s="226"/>
      <c r="G2" s="226"/>
      <c r="H2" s="226"/>
      <c r="I2" s="226"/>
      <c r="J2" s="77"/>
    </row>
    <row r="3" spans="1:10" ht="18">
      <c r="A3" s="76"/>
      <c r="B3" s="227" t="s">
        <v>70</v>
      </c>
      <c r="C3" s="227"/>
      <c r="D3" s="227"/>
      <c r="E3" s="227"/>
      <c r="F3" s="227"/>
      <c r="G3" s="227"/>
      <c r="H3" s="227"/>
      <c r="I3" s="227"/>
      <c r="J3" s="77"/>
    </row>
    <row r="4" spans="1:10">
      <c r="A4" s="76"/>
      <c r="B4" s="78"/>
      <c r="C4" s="78"/>
      <c r="D4" s="78"/>
      <c r="E4" s="78"/>
      <c r="F4" s="78"/>
      <c r="G4" s="78"/>
      <c r="H4" s="78"/>
      <c r="I4" s="78"/>
      <c r="J4" s="77"/>
    </row>
    <row r="5" spans="1:10" ht="21" thickBot="1">
      <c r="A5" s="79"/>
      <c r="B5" s="228"/>
      <c r="C5" s="228"/>
      <c r="D5" s="228"/>
      <c r="E5" s="228"/>
      <c r="F5" s="228"/>
      <c r="G5" s="228"/>
      <c r="H5" s="228"/>
      <c r="I5" s="228"/>
      <c r="J5" s="80"/>
    </row>
    <row r="6" spans="1:10" ht="15.75">
      <c r="A6" s="73"/>
      <c r="B6" s="229" t="s">
        <v>71</v>
      </c>
      <c r="C6" s="230"/>
      <c r="D6" s="230"/>
      <c r="E6" s="230"/>
      <c r="F6" s="230"/>
      <c r="G6" s="230"/>
      <c r="H6" s="230"/>
      <c r="I6" s="231"/>
      <c r="J6" s="75"/>
    </row>
    <row r="7" spans="1:10" ht="13.5" thickBot="1">
      <c r="A7" s="76"/>
      <c r="B7" s="76"/>
      <c r="C7" s="78"/>
      <c r="D7" s="78"/>
      <c r="E7" s="78"/>
      <c r="F7" s="78"/>
      <c r="G7" s="78"/>
      <c r="H7" s="78"/>
      <c r="I7" s="77"/>
      <c r="J7" s="77"/>
    </row>
    <row r="8" spans="1:10" ht="13.5" thickBot="1">
      <c r="A8" s="76"/>
      <c r="B8" s="221" t="s">
        <v>72</v>
      </c>
      <c r="C8" s="222"/>
      <c r="D8" s="222"/>
      <c r="E8" s="222"/>
      <c r="F8" s="222"/>
      <c r="G8" s="223"/>
      <c r="H8" s="218" t="s">
        <v>73</v>
      </c>
      <c r="I8" s="220"/>
      <c r="J8" s="77"/>
    </row>
    <row r="9" spans="1:10" ht="13.5" thickBot="1">
      <c r="A9" s="76"/>
      <c r="B9" s="218" t="s">
        <v>151</v>
      </c>
      <c r="C9" s="219"/>
      <c r="D9" s="219"/>
      <c r="E9" s="219"/>
      <c r="F9" s="219"/>
      <c r="G9" s="219"/>
      <c r="H9" s="219"/>
      <c r="I9" s="220"/>
      <c r="J9" s="77"/>
    </row>
    <row r="10" spans="1:10" ht="13.5" thickBot="1">
      <c r="A10" s="76"/>
      <c r="B10" s="221" t="s">
        <v>152</v>
      </c>
      <c r="C10" s="222"/>
      <c r="D10" s="222"/>
      <c r="E10" s="222"/>
      <c r="F10" s="222"/>
      <c r="G10" s="222"/>
      <c r="H10" s="222"/>
      <c r="I10" s="223"/>
      <c r="J10" s="77"/>
    </row>
    <row r="11" spans="1:10" ht="26.25" thickBot="1">
      <c r="A11" s="76"/>
      <c r="B11" s="81" t="s">
        <v>74</v>
      </c>
      <c r="C11" s="82" t="s">
        <v>75</v>
      </c>
      <c r="D11" s="83" t="s">
        <v>76</v>
      </c>
      <c r="E11" s="83" t="s">
        <v>77</v>
      </c>
      <c r="F11" s="83" t="s">
        <v>78</v>
      </c>
      <c r="G11" s="224" t="s">
        <v>79</v>
      </c>
      <c r="H11" s="207"/>
      <c r="I11" s="83" t="s">
        <v>80</v>
      </c>
      <c r="J11" s="77"/>
    </row>
    <row r="12" spans="1:10" ht="13.5" thickBot="1">
      <c r="A12" s="76"/>
      <c r="B12" s="225" t="str">
        <f>'Planilha Orcamentaria'!C13</f>
        <v>SERVIÇOS PRELIMINARES</v>
      </c>
      <c r="C12" s="84" t="s">
        <v>81</v>
      </c>
      <c r="D12" s="85">
        <f>D13/D19</f>
        <v>5.6416253399121194E-2</v>
      </c>
      <c r="E12" s="86">
        <v>0.7</v>
      </c>
      <c r="F12" s="86">
        <v>0.2</v>
      </c>
      <c r="G12" s="212">
        <v>0.1</v>
      </c>
      <c r="H12" s="213"/>
      <c r="I12" s="87">
        <f>SUM(E12:H12)</f>
        <v>0.99999999999999989</v>
      </c>
      <c r="J12" s="77"/>
    </row>
    <row r="13" spans="1:10" ht="13.5" thickBot="1">
      <c r="A13" s="76"/>
      <c r="B13" s="211"/>
      <c r="C13" s="84" t="s">
        <v>82</v>
      </c>
      <c r="D13" s="88">
        <f>'Planilha Orcamentaria'!H19</f>
        <v>8623.9599999999991</v>
      </c>
      <c r="E13" s="88">
        <f>E12*$D$13</f>
        <v>6036.771999999999</v>
      </c>
      <c r="F13" s="88">
        <f>F12*$D$13</f>
        <v>1724.7919999999999</v>
      </c>
      <c r="G13" s="214">
        <f>G12*$D$13</f>
        <v>862.39599999999996</v>
      </c>
      <c r="H13" s="215"/>
      <c r="I13" s="89">
        <f>G13+F13+E13</f>
        <v>8623.9599999999991</v>
      </c>
      <c r="J13" s="77"/>
    </row>
    <row r="14" spans="1:10" ht="13.5" thickBot="1">
      <c r="A14" s="76"/>
      <c r="B14" s="210" t="str">
        <f>'Planilha Orcamentaria'!C20</f>
        <v>SISTEMA DE DRENAGEM DE ÁGUAS PLUVIAIS</v>
      </c>
      <c r="C14" s="84" t="s">
        <v>81</v>
      </c>
      <c r="D14" s="85">
        <f>D15/D19</f>
        <v>0.53514518617449969</v>
      </c>
      <c r="E14" s="86">
        <v>0.3</v>
      </c>
      <c r="F14" s="86">
        <v>0.4</v>
      </c>
      <c r="G14" s="212">
        <v>0.3</v>
      </c>
      <c r="H14" s="213"/>
      <c r="I14" s="90">
        <f>SUM(E14:H14)</f>
        <v>1</v>
      </c>
      <c r="J14" s="77"/>
    </row>
    <row r="15" spans="1:10" ht="13.5" thickBot="1">
      <c r="A15" s="76"/>
      <c r="B15" s="211"/>
      <c r="C15" s="84" t="s">
        <v>82</v>
      </c>
      <c r="D15" s="88">
        <f>'Planilha Orcamentaria'!H31</f>
        <v>81803.92</v>
      </c>
      <c r="E15" s="88">
        <f>E14*$D$15</f>
        <v>24541.175999999999</v>
      </c>
      <c r="F15" s="88">
        <f>F14*$D$15</f>
        <v>32721.567999999999</v>
      </c>
      <c r="G15" s="214">
        <f>G14*D15</f>
        <v>24541.175999999999</v>
      </c>
      <c r="H15" s="215"/>
      <c r="I15" s="119">
        <f>G15+F15+E15</f>
        <v>81803.92</v>
      </c>
      <c r="J15" s="77"/>
    </row>
    <row r="16" spans="1:10" ht="13.5" thickBot="1">
      <c r="A16" s="76"/>
      <c r="B16" s="216" t="str">
        <f>'Planilha Orcamentaria'!C32</f>
        <v>DRENAGEM</v>
      </c>
      <c r="C16" s="84" t="s">
        <v>81</v>
      </c>
      <c r="D16" s="86">
        <f>D17/D19</f>
        <v>0.40843856042637905</v>
      </c>
      <c r="E16" s="86">
        <v>0.3</v>
      </c>
      <c r="F16" s="86">
        <v>0.35</v>
      </c>
      <c r="G16" s="212">
        <v>0.35</v>
      </c>
      <c r="H16" s="213"/>
      <c r="I16" s="90">
        <f>SUM(E16:H16)</f>
        <v>0.99999999999999989</v>
      </c>
      <c r="J16" s="77"/>
    </row>
    <row r="17" spans="1:10" ht="13.5" thickBot="1">
      <c r="A17" s="76"/>
      <c r="B17" s="217"/>
      <c r="C17" s="84" t="s">
        <v>82</v>
      </c>
      <c r="D17" s="88">
        <f>'Planilha Orcamentaria'!H38</f>
        <v>62435.16</v>
      </c>
      <c r="E17" s="88">
        <f>E16*$D$17</f>
        <v>18730.547999999999</v>
      </c>
      <c r="F17" s="88">
        <f>F16*$D$17</f>
        <v>21852.306</v>
      </c>
      <c r="G17" s="214">
        <f>G16*D17</f>
        <v>21852.306</v>
      </c>
      <c r="H17" s="215"/>
      <c r="I17" s="89">
        <f>G17+F17+E17</f>
        <v>62435.16</v>
      </c>
      <c r="J17" s="77"/>
    </row>
    <row r="18" spans="1:10" ht="13.5" thickBot="1">
      <c r="A18" s="76"/>
      <c r="B18" s="202" t="s">
        <v>37</v>
      </c>
      <c r="C18" s="83" t="s">
        <v>81</v>
      </c>
      <c r="D18" s="91">
        <f>D14+D16+D12</f>
        <v>0.99999999999999989</v>
      </c>
      <c r="E18" s="92">
        <f>E19/$D$19</f>
        <v>0.32256650135964848</v>
      </c>
      <c r="F18" s="92">
        <f>F19/$D$19</f>
        <v>0.36829482129885677</v>
      </c>
      <c r="G18" s="204">
        <f>G19/D19</f>
        <v>0.30913867734149469</v>
      </c>
      <c r="H18" s="205"/>
      <c r="I18" s="91">
        <f>I19/$D$19</f>
        <v>1</v>
      </c>
      <c r="J18" s="77"/>
    </row>
    <row r="19" spans="1:10" ht="13.5" thickBot="1">
      <c r="A19" s="76"/>
      <c r="B19" s="203"/>
      <c r="C19" s="83" t="s">
        <v>82</v>
      </c>
      <c r="D19" s="93">
        <f>D13+D15+D17</f>
        <v>152863.04000000001</v>
      </c>
      <c r="E19" s="93">
        <f>E13+E15+E17</f>
        <v>49308.495999999999</v>
      </c>
      <c r="F19" s="93">
        <f>F13+F15+F17</f>
        <v>56298.665999999997</v>
      </c>
      <c r="G19" s="206">
        <f>G13+G15+G17</f>
        <v>47255.877999999997</v>
      </c>
      <c r="H19" s="207"/>
      <c r="I19" s="94">
        <f>I17+I15+I13</f>
        <v>152863.04000000001</v>
      </c>
      <c r="J19" s="77"/>
    </row>
    <row r="20" spans="1:10">
      <c r="A20" s="76"/>
      <c r="B20" s="74"/>
      <c r="C20" s="78"/>
      <c r="D20" s="78"/>
      <c r="E20" s="78"/>
      <c r="F20" s="78"/>
      <c r="G20" s="78"/>
      <c r="H20" s="78"/>
      <c r="I20" s="78"/>
      <c r="J20" s="77"/>
    </row>
    <row r="21" spans="1:10">
      <c r="A21" s="76"/>
      <c r="B21" s="208"/>
      <c r="C21" s="208"/>
      <c r="D21" s="208"/>
      <c r="E21" s="208"/>
      <c r="F21" s="208"/>
      <c r="G21" s="208"/>
      <c r="H21" s="208"/>
      <c r="I21" s="208"/>
      <c r="J21" s="77"/>
    </row>
    <row r="22" spans="1:10">
      <c r="A22" s="76"/>
      <c r="B22" s="95"/>
      <c r="C22" s="95"/>
      <c r="D22" s="95"/>
      <c r="E22" s="95"/>
      <c r="F22" s="95"/>
      <c r="G22" s="95"/>
      <c r="H22" s="95"/>
      <c r="I22" s="95"/>
      <c r="J22" s="77"/>
    </row>
    <row r="23" spans="1:10" ht="14.25">
      <c r="A23" s="76"/>
      <c r="B23" s="96"/>
      <c r="C23" s="78"/>
      <c r="D23" s="78"/>
      <c r="E23" s="78"/>
      <c r="F23" s="78"/>
      <c r="G23" s="78"/>
      <c r="H23" s="78"/>
      <c r="I23" s="78"/>
      <c r="J23" s="77"/>
    </row>
    <row r="24" spans="1:10" ht="14.25">
      <c r="A24" s="76"/>
      <c r="B24" s="209" t="s">
        <v>163</v>
      </c>
      <c r="C24" s="209"/>
      <c r="D24" s="209"/>
      <c r="E24" s="209"/>
      <c r="F24" s="209"/>
      <c r="G24" s="209"/>
      <c r="H24" s="209"/>
      <c r="I24" s="209"/>
      <c r="J24" s="77"/>
    </row>
    <row r="25" spans="1:10">
      <c r="A25" s="76"/>
      <c r="B25" s="78"/>
      <c r="C25" s="78"/>
      <c r="D25" s="78"/>
      <c r="E25" s="78"/>
      <c r="F25" s="78"/>
      <c r="G25" s="78"/>
      <c r="H25" s="78"/>
      <c r="I25" s="78"/>
      <c r="J25" s="77"/>
    </row>
    <row r="26" spans="1:10" ht="13.5" thickBot="1">
      <c r="A26" s="79"/>
      <c r="B26" s="97"/>
      <c r="C26" s="97"/>
      <c r="D26" s="97"/>
      <c r="E26" s="97"/>
      <c r="F26" s="97"/>
      <c r="G26" s="97"/>
      <c r="H26" s="97"/>
      <c r="I26" s="97"/>
      <c r="J26" s="80"/>
    </row>
  </sheetData>
  <mergeCells count="23">
    <mergeCell ref="B2:I2"/>
    <mergeCell ref="B3:I3"/>
    <mergeCell ref="B5:I5"/>
    <mergeCell ref="B6:I6"/>
    <mergeCell ref="B8:G8"/>
    <mergeCell ref="H8:I8"/>
    <mergeCell ref="G17:H17"/>
    <mergeCell ref="B9:I9"/>
    <mergeCell ref="B10:I10"/>
    <mergeCell ref="G11:H11"/>
    <mergeCell ref="B12:B13"/>
    <mergeCell ref="G12:H12"/>
    <mergeCell ref="G13:H13"/>
    <mergeCell ref="B18:B19"/>
    <mergeCell ref="G18:H18"/>
    <mergeCell ref="G19:H19"/>
    <mergeCell ref="B21:I21"/>
    <mergeCell ref="B24:I24"/>
    <mergeCell ref="B14:B15"/>
    <mergeCell ref="G14:H14"/>
    <mergeCell ref="G15:H15"/>
    <mergeCell ref="B16:B17"/>
    <mergeCell ref="G16:H16"/>
  </mergeCells>
  <pageMargins left="0.511811024" right="0.511811024" top="0.78740157499999996" bottom="0.78740157499999996" header="0.31496062000000002" footer="0.31496062000000002"/>
  <legacyDrawing r:id="rId1"/>
  <oleObjects>
    <oleObject shapeId="7169" r:id="rId2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1:L38"/>
  <sheetViews>
    <sheetView topLeftCell="B35" workbookViewId="0">
      <selection activeCell="J30" sqref="J30"/>
    </sheetView>
  </sheetViews>
  <sheetFormatPr defaultRowHeight="12.75"/>
  <cols>
    <col min="2" max="2" width="13.85546875" customWidth="1"/>
    <col min="3" max="3" width="59.85546875" customWidth="1"/>
    <col min="5" max="5" width="14" customWidth="1"/>
    <col min="8" max="8" width="28.7109375" customWidth="1"/>
  </cols>
  <sheetData>
    <row r="1" spans="1:8">
      <c r="A1" s="235" t="s">
        <v>24</v>
      </c>
      <c r="B1" s="236"/>
      <c r="C1" s="236"/>
      <c r="D1" s="236"/>
      <c r="E1" s="236"/>
      <c r="F1" s="236"/>
      <c r="G1" s="236"/>
      <c r="H1" s="237"/>
    </row>
    <row r="2" spans="1:8" ht="73.5" customHeight="1" thickBot="1">
      <c r="A2" s="238"/>
      <c r="B2" s="133"/>
      <c r="C2" s="133"/>
      <c r="D2" s="133"/>
      <c r="E2" s="133"/>
      <c r="F2" s="133"/>
      <c r="G2" s="133"/>
      <c r="H2" s="239"/>
    </row>
    <row r="3" spans="1:8" ht="9" customHeight="1" thickBot="1">
      <c r="A3" s="135"/>
      <c r="B3" s="135"/>
      <c r="C3" s="135"/>
      <c r="D3" s="135"/>
      <c r="E3" s="135"/>
      <c r="F3" s="135"/>
      <c r="G3" s="135"/>
      <c r="H3" s="135"/>
    </row>
    <row r="4" spans="1:8" ht="13.5" thickBot="1">
      <c r="A4" s="157" t="s">
        <v>4</v>
      </c>
      <c r="B4" s="158"/>
      <c r="C4" s="158"/>
      <c r="D4" s="158"/>
      <c r="E4" s="158"/>
      <c r="F4" s="158"/>
      <c r="G4" s="158"/>
      <c r="H4" s="159"/>
    </row>
    <row r="5" spans="1:8" ht="9" customHeight="1" thickBot="1">
      <c r="A5" s="2"/>
      <c r="B5" s="2"/>
      <c r="C5" s="2"/>
      <c r="D5" s="2"/>
      <c r="E5" s="2"/>
      <c r="F5" s="2"/>
      <c r="G5" s="2"/>
      <c r="H5" s="2"/>
    </row>
    <row r="6" spans="1:8">
      <c r="A6" s="142" t="s">
        <v>21</v>
      </c>
      <c r="B6" s="143"/>
      <c r="C6" s="143"/>
      <c r="D6" s="143"/>
      <c r="E6" s="144"/>
      <c r="F6" s="160" t="s">
        <v>20</v>
      </c>
      <c r="G6" s="161"/>
      <c r="H6" s="162"/>
    </row>
    <row r="7" spans="1:8">
      <c r="A7" s="145" t="s">
        <v>143</v>
      </c>
      <c r="B7" s="146"/>
      <c r="C7" s="146"/>
      <c r="D7" s="146"/>
      <c r="E7" s="147"/>
      <c r="F7" s="170" t="s">
        <v>142</v>
      </c>
      <c r="G7" s="171"/>
      <c r="H7" s="172"/>
    </row>
    <row r="8" spans="1:8">
      <c r="A8" s="136" t="s">
        <v>150</v>
      </c>
      <c r="B8" s="137"/>
      <c r="C8" s="137"/>
      <c r="D8" s="138"/>
      <c r="E8" s="148" t="s">
        <v>10</v>
      </c>
      <c r="F8" s="149"/>
      <c r="G8" s="149"/>
      <c r="H8" s="150"/>
    </row>
    <row r="9" spans="1:8">
      <c r="A9" s="136" t="s">
        <v>139</v>
      </c>
      <c r="B9" s="137"/>
      <c r="C9" s="137"/>
      <c r="D9" s="138"/>
      <c r="E9" s="168" t="s">
        <v>8</v>
      </c>
      <c r="F9" s="166" t="s">
        <v>6</v>
      </c>
      <c r="G9" s="3" t="s">
        <v>23</v>
      </c>
      <c r="H9" s="4" t="s">
        <v>7</v>
      </c>
    </row>
    <row r="10" spans="1:8" ht="13.5" thickBot="1">
      <c r="A10" s="163" t="s">
        <v>141</v>
      </c>
      <c r="B10" s="164"/>
      <c r="C10" s="164"/>
      <c r="D10" s="165"/>
      <c r="E10" s="169"/>
      <c r="F10" s="167"/>
      <c r="G10" s="5" t="s">
        <v>51</v>
      </c>
      <c r="H10" s="8">
        <f>BDI!I6</f>
        <v>0.26431472819274493</v>
      </c>
    </row>
    <row r="11" spans="1:8" ht="7.5" customHeight="1" thickBot="1">
      <c r="A11" s="134"/>
      <c r="B11" s="134"/>
      <c r="C11" s="134"/>
      <c r="D11" s="134"/>
      <c r="E11" s="134"/>
      <c r="F11" s="134"/>
      <c r="G11" s="134"/>
      <c r="H11" s="134"/>
    </row>
    <row r="12" spans="1:8" ht="13.5" thickBot="1">
      <c r="A12" s="125" t="s">
        <v>0</v>
      </c>
      <c r="B12" s="126" t="s">
        <v>5</v>
      </c>
      <c r="C12" s="126" t="s">
        <v>1</v>
      </c>
      <c r="D12" s="126" t="s">
        <v>3</v>
      </c>
      <c r="E12" s="126" t="s">
        <v>2</v>
      </c>
      <c r="F12" s="241" t="s">
        <v>133</v>
      </c>
      <c r="G12" s="242"/>
      <c r="H12" s="243"/>
    </row>
    <row r="13" spans="1:8">
      <c r="A13" s="120" t="s">
        <v>86</v>
      </c>
      <c r="B13" s="121"/>
      <c r="C13" s="122" t="s">
        <v>26</v>
      </c>
      <c r="D13" s="123"/>
      <c r="E13" s="124"/>
      <c r="F13" s="250"/>
      <c r="G13" s="251"/>
      <c r="H13" s="252"/>
    </row>
    <row r="14" spans="1:8" ht="13.5" customHeight="1">
      <c r="A14" s="21" t="s">
        <v>12</v>
      </c>
      <c r="B14" s="15" t="s">
        <v>109</v>
      </c>
      <c r="C14" s="109" t="s">
        <v>110</v>
      </c>
      <c r="D14" s="20" t="s">
        <v>22</v>
      </c>
      <c r="E14" s="18">
        <f>'Planilha Orcamentaria'!E14</f>
        <v>4.5</v>
      </c>
      <c r="F14" s="244" t="s">
        <v>134</v>
      </c>
      <c r="G14" s="245"/>
      <c r="H14" s="246"/>
    </row>
    <row r="15" spans="1:8" ht="24.75" customHeight="1">
      <c r="A15" s="21" t="s">
        <v>89</v>
      </c>
      <c r="B15" s="15" t="s">
        <v>100</v>
      </c>
      <c r="C15" s="109" t="s">
        <v>103</v>
      </c>
      <c r="D15" s="21" t="s">
        <v>101</v>
      </c>
      <c r="E15" s="18">
        <f>'Planilha Orcamentaria'!E15</f>
        <v>639.14</v>
      </c>
      <c r="F15" s="244" t="s">
        <v>135</v>
      </c>
      <c r="G15" s="245"/>
      <c r="H15" s="246"/>
    </row>
    <row r="16" spans="1:8" ht="12.75" customHeight="1">
      <c r="A16" s="21" t="s">
        <v>90</v>
      </c>
      <c r="B16" s="15" t="s">
        <v>102</v>
      </c>
      <c r="C16" s="109" t="s">
        <v>106</v>
      </c>
      <c r="D16" s="21" t="s">
        <v>104</v>
      </c>
      <c r="E16" s="18">
        <f>'Planilha Orcamentaria'!E16</f>
        <v>5</v>
      </c>
      <c r="F16" s="244" t="s">
        <v>136</v>
      </c>
      <c r="G16" s="245"/>
      <c r="H16" s="246"/>
    </row>
    <row r="17" spans="1:12" ht="12.75" customHeight="1">
      <c r="A17" s="21" t="s">
        <v>91</v>
      </c>
      <c r="B17" s="15" t="s">
        <v>107</v>
      </c>
      <c r="C17" s="109" t="s">
        <v>108</v>
      </c>
      <c r="D17" s="21" t="s">
        <v>11</v>
      </c>
      <c r="E17" s="18">
        <f>'Planilha Orcamentaria'!E17</f>
        <v>12</v>
      </c>
      <c r="F17" s="244" t="s">
        <v>137</v>
      </c>
      <c r="G17" s="245"/>
      <c r="H17" s="246"/>
    </row>
    <row r="18" spans="1:12">
      <c r="A18" s="21" t="s">
        <v>105</v>
      </c>
      <c r="B18" s="15" t="s">
        <v>87</v>
      </c>
      <c r="C18" s="109" t="s">
        <v>88</v>
      </c>
      <c r="D18" s="15" t="s">
        <v>18</v>
      </c>
      <c r="E18" s="18">
        <f>'Planilha Orcamentaria'!E18</f>
        <v>12.83</v>
      </c>
      <c r="F18" s="244" t="s">
        <v>174</v>
      </c>
      <c r="G18" s="245"/>
      <c r="H18" s="246"/>
    </row>
    <row r="19" spans="1:12">
      <c r="A19" s="151"/>
      <c r="B19" s="152"/>
      <c r="C19" s="152"/>
      <c r="D19" s="152"/>
      <c r="E19" s="152"/>
      <c r="F19" s="152"/>
      <c r="G19" s="152"/>
      <c r="H19" s="153"/>
    </row>
    <row r="20" spans="1:12">
      <c r="A20" s="98" t="s">
        <v>13</v>
      </c>
      <c r="B20" s="15"/>
      <c r="C20" s="16" t="s">
        <v>25</v>
      </c>
      <c r="D20" s="17"/>
      <c r="E20" s="18"/>
      <c r="F20" s="240"/>
      <c r="G20" s="197"/>
      <c r="H20" s="197"/>
    </row>
    <row r="21" spans="1:12" ht="22.5">
      <c r="A21" s="21"/>
      <c r="B21" s="23" t="s">
        <v>27</v>
      </c>
      <c r="C21" s="24" t="s">
        <v>28</v>
      </c>
      <c r="D21" s="20"/>
      <c r="E21" s="18"/>
      <c r="F21" s="244"/>
      <c r="G21" s="245"/>
      <c r="H21" s="246"/>
      <c r="J21" s="78"/>
      <c r="K21" s="78"/>
      <c r="L21" s="78"/>
    </row>
    <row r="22" spans="1:12" ht="22.5">
      <c r="A22" s="21" t="s">
        <v>92</v>
      </c>
      <c r="B22" s="15" t="s">
        <v>113</v>
      </c>
      <c r="C22" s="109" t="s">
        <v>116</v>
      </c>
      <c r="D22" s="22" t="s">
        <v>14</v>
      </c>
      <c r="E22" s="18">
        <f>'Planilha Orcamentaria'!E22</f>
        <v>800</v>
      </c>
      <c r="F22" s="244" t="s">
        <v>167</v>
      </c>
      <c r="G22" s="245"/>
      <c r="H22" s="246"/>
      <c r="J22" s="78"/>
      <c r="K22" s="10"/>
      <c r="L22" s="78"/>
    </row>
    <row r="23" spans="1:12" ht="22.5" customHeight="1">
      <c r="A23" s="21" t="s">
        <v>93</v>
      </c>
      <c r="B23" s="15" t="s">
        <v>114</v>
      </c>
      <c r="C23" s="109" t="s">
        <v>115</v>
      </c>
      <c r="D23" s="22" t="s">
        <v>14</v>
      </c>
      <c r="E23" s="18">
        <f>'Planilha Orcamentaria'!E23</f>
        <v>486.00000000000006</v>
      </c>
      <c r="F23" s="244" t="s">
        <v>168</v>
      </c>
      <c r="G23" s="245"/>
      <c r="H23" s="246"/>
      <c r="J23" s="78"/>
      <c r="K23" s="10"/>
      <c r="L23" s="78"/>
    </row>
    <row r="24" spans="1:12" ht="22.5">
      <c r="A24" s="21" t="s">
        <v>94</v>
      </c>
      <c r="B24" s="15" t="s">
        <v>111</v>
      </c>
      <c r="C24" s="109" t="s">
        <v>112</v>
      </c>
      <c r="D24" s="22" t="s">
        <v>14</v>
      </c>
      <c r="E24" s="18">
        <f>'Planilha Orcamentaria'!E24</f>
        <v>160</v>
      </c>
      <c r="F24" s="244" t="s">
        <v>169</v>
      </c>
      <c r="G24" s="245"/>
      <c r="H24" s="246"/>
      <c r="J24" s="78"/>
      <c r="K24" s="10"/>
      <c r="L24" s="78"/>
    </row>
    <row r="25" spans="1:12" ht="33.75" customHeight="1">
      <c r="A25" s="21" t="s">
        <v>95</v>
      </c>
      <c r="B25" s="15" t="s">
        <v>153</v>
      </c>
      <c r="C25" s="109" t="s">
        <v>154</v>
      </c>
      <c r="D25" s="22" t="s">
        <v>14</v>
      </c>
      <c r="E25" s="18">
        <f>'Planilha Orcamentaria'!E25</f>
        <v>1446</v>
      </c>
      <c r="F25" s="244" t="s">
        <v>170</v>
      </c>
      <c r="G25" s="245"/>
      <c r="H25" s="246"/>
      <c r="J25" s="78"/>
      <c r="K25" s="10"/>
      <c r="L25" s="78"/>
    </row>
    <row r="26" spans="1:12">
      <c r="A26" s="21" t="s">
        <v>96</v>
      </c>
      <c r="B26" s="15" t="s">
        <v>127</v>
      </c>
      <c r="C26" s="109" t="s">
        <v>128</v>
      </c>
      <c r="D26" s="22" t="s">
        <v>41</v>
      </c>
      <c r="E26" s="18">
        <f>'Planilha Orcamentaria'!E26</f>
        <v>100</v>
      </c>
      <c r="F26" s="232">
        <v>100</v>
      </c>
      <c r="G26" s="233"/>
      <c r="H26" s="234"/>
      <c r="J26" s="78"/>
      <c r="K26" s="10"/>
      <c r="L26" s="78"/>
    </row>
    <row r="27" spans="1:12" ht="27" customHeight="1">
      <c r="A27" s="21" t="s">
        <v>97</v>
      </c>
      <c r="B27" s="15" t="s">
        <v>121</v>
      </c>
      <c r="C27" s="109" t="s">
        <v>122</v>
      </c>
      <c r="D27" s="22" t="s">
        <v>15</v>
      </c>
      <c r="E27" s="18">
        <f>'Planilha Orcamentaria'!E27</f>
        <v>14460</v>
      </c>
      <c r="F27" s="253" t="s">
        <v>171</v>
      </c>
      <c r="G27" s="254"/>
      <c r="H27" s="255"/>
      <c r="J27" s="78"/>
      <c r="K27" s="10"/>
      <c r="L27" s="78"/>
    </row>
    <row r="28" spans="1:12" ht="14.25" customHeight="1">
      <c r="A28" s="21" t="s">
        <v>98</v>
      </c>
      <c r="B28" s="15" t="s">
        <v>117</v>
      </c>
      <c r="C28" s="109" t="s">
        <v>118</v>
      </c>
      <c r="D28" s="22" t="s">
        <v>11</v>
      </c>
      <c r="E28" s="18">
        <f>'Planilha Orcamentaria'!E28</f>
        <v>400</v>
      </c>
      <c r="F28" s="244" t="s">
        <v>172</v>
      </c>
      <c r="G28" s="245"/>
      <c r="H28" s="246"/>
      <c r="J28" s="78"/>
      <c r="K28" s="10"/>
      <c r="L28" s="78"/>
    </row>
    <row r="29" spans="1:12">
      <c r="A29" s="21" t="s">
        <v>99</v>
      </c>
      <c r="B29" s="15" t="s">
        <v>138</v>
      </c>
      <c r="C29" s="109" t="s">
        <v>146</v>
      </c>
      <c r="D29" s="22" t="s">
        <v>14</v>
      </c>
      <c r="E29" s="18">
        <f>'Planilha Orcamentaria'!E29</f>
        <v>10</v>
      </c>
      <c r="F29" s="232">
        <v>10</v>
      </c>
      <c r="G29" s="233"/>
      <c r="H29" s="234"/>
      <c r="J29" s="78"/>
      <c r="K29" s="10"/>
      <c r="L29" s="78"/>
    </row>
    <row r="30" spans="1:12" ht="17.25" customHeight="1">
      <c r="A30" s="21" t="s">
        <v>155</v>
      </c>
      <c r="B30" s="15" t="s">
        <v>119</v>
      </c>
      <c r="C30" s="109" t="s">
        <v>120</v>
      </c>
      <c r="D30" s="22" t="s">
        <v>14</v>
      </c>
      <c r="E30" s="18">
        <f>'Planilha Orcamentaria'!E30</f>
        <v>1280</v>
      </c>
      <c r="F30" s="244" t="s">
        <v>173</v>
      </c>
      <c r="G30" s="245"/>
      <c r="H30" s="246"/>
      <c r="J30" s="78"/>
      <c r="K30" s="10"/>
      <c r="L30" s="78"/>
    </row>
    <row r="31" spans="1:12">
      <c r="A31" s="113"/>
      <c r="B31" s="114"/>
      <c r="C31" s="114"/>
      <c r="D31" s="114"/>
      <c r="E31" s="114"/>
      <c r="F31" s="114"/>
      <c r="G31" s="114"/>
      <c r="H31" s="115"/>
      <c r="J31" s="78"/>
      <c r="K31" s="78"/>
      <c r="L31" s="78"/>
    </row>
    <row r="32" spans="1:12">
      <c r="A32" s="116" t="s">
        <v>83</v>
      </c>
      <c r="B32" s="23" t="s">
        <v>16</v>
      </c>
      <c r="C32" s="24" t="s">
        <v>29</v>
      </c>
      <c r="D32" s="22"/>
      <c r="E32" s="18"/>
      <c r="F32" s="256"/>
      <c r="G32" s="257"/>
      <c r="H32" s="258"/>
    </row>
    <row r="33" spans="1:11" ht="33.75">
      <c r="A33" s="21" t="s">
        <v>17</v>
      </c>
      <c r="B33" s="15" t="s">
        <v>124</v>
      </c>
      <c r="C33" s="19" t="s">
        <v>123</v>
      </c>
      <c r="D33" s="17" t="s">
        <v>18</v>
      </c>
      <c r="E33" s="18">
        <f>'Planilha Orcamentaria'!E33</f>
        <v>100</v>
      </c>
      <c r="F33" s="247">
        <v>100</v>
      </c>
      <c r="G33" s="248"/>
      <c r="H33" s="249"/>
    </row>
    <row r="34" spans="1:11" ht="22.5">
      <c r="A34" s="21" t="s">
        <v>84</v>
      </c>
      <c r="B34" s="15" t="s">
        <v>125</v>
      </c>
      <c r="C34" s="19" t="s">
        <v>129</v>
      </c>
      <c r="D34" s="22" t="s">
        <v>126</v>
      </c>
      <c r="E34" s="18">
        <f>'Planilha Orcamentaria'!E34</f>
        <v>2</v>
      </c>
      <c r="F34" s="247">
        <v>2</v>
      </c>
      <c r="G34" s="248"/>
      <c r="H34" s="249"/>
    </row>
    <row r="35" spans="1:11" ht="22.5">
      <c r="A35" s="21" t="s">
        <v>85</v>
      </c>
      <c r="B35" s="15" t="s">
        <v>130</v>
      </c>
      <c r="C35" s="19" t="s">
        <v>131</v>
      </c>
      <c r="D35" s="22" t="s">
        <v>132</v>
      </c>
      <c r="E35" s="18">
        <f>'Planilha Orcamentaria'!E35</f>
        <v>318</v>
      </c>
      <c r="F35" s="232" t="s">
        <v>149</v>
      </c>
      <c r="G35" s="248"/>
      <c r="H35" s="249"/>
      <c r="J35" s="78"/>
      <c r="K35" s="78"/>
    </row>
    <row r="36" spans="1:11" ht="37.5" customHeight="1">
      <c r="B36" s="15" t="s">
        <v>159</v>
      </c>
      <c r="C36" s="109" t="s">
        <v>166</v>
      </c>
      <c r="D36" s="22" t="s">
        <v>14</v>
      </c>
      <c r="E36" s="18">
        <f>'Planilha Orcamentaria'!E36</f>
        <v>1.0960000000000001</v>
      </c>
      <c r="F36" s="232" t="s">
        <v>165</v>
      </c>
      <c r="G36" s="233"/>
      <c r="H36" s="234"/>
      <c r="J36" s="10"/>
      <c r="K36" s="78"/>
    </row>
    <row r="37" spans="1:11" ht="22.5">
      <c r="B37" s="15" t="s">
        <v>161</v>
      </c>
      <c r="C37" s="19" t="s">
        <v>162</v>
      </c>
      <c r="D37" s="22" t="s">
        <v>11</v>
      </c>
      <c r="E37" s="18">
        <f>'Planilha Orcamentaria'!E37</f>
        <v>10</v>
      </c>
      <c r="F37" s="232" t="s">
        <v>164</v>
      </c>
      <c r="G37" s="233"/>
      <c r="H37" s="234"/>
      <c r="J37" s="131"/>
      <c r="K37" s="78"/>
    </row>
    <row r="38" spans="1:11">
      <c r="J38" s="78"/>
      <c r="K38" s="78"/>
    </row>
  </sheetData>
  <mergeCells count="39">
    <mergeCell ref="F34:H34"/>
    <mergeCell ref="F35:H35"/>
    <mergeCell ref="A19:H19"/>
    <mergeCell ref="F25:H25"/>
    <mergeCell ref="F27:H27"/>
    <mergeCell ref="F28:H28"/>
    <mergeCell ref="F29:H29"/>
    <mergeCell ref="F30:H30"/>
    <mergeCell ref="F32:H32"/>
    <mergeCell ref="F33:H33"/>
    <mergeCell ref="F13:H13"/>
    <mergeCell ref="F21:H21"/>
    <mergeCell ref="F22:H22"/>
    <mergeCell ref="F23:H23"/>
    <mergeCell ref="F24:H24"/>
    <mergeCell ref="F26:H26"/>
    <mergeCell ref="F20:H20"/>
    <mergeCell ref="F12:H12"/>
    <mergeCell ref="F14:H14"/>
    <mergeCell ref="F15:H15"/>
    <mergeCell ref="F16:H16"/>
    <mergeCell ref="F17:H17"/>
    <mergeCell ref="F18:H18"/>
    <mergeCell ref="E8:H8"/>
    <mergeCell ref="A9:D9"/>
    <mergeCell ref="E9:E10"/>
    <mergeCell ref="F9:F10"/>
    <mergeCell ref="A10:D10"/>
    <mergeCell ref="A11:H11"/>
    <mergeCell ref="F36:H36"/>
    <mergeCell ref="F37:H37"/>
    <mergeCell ref="A1:H2"/>
    <mergeCell ref="A3:H3"/>
    <mergeCell ref="A4:H4"/>
    <mergeCell ref="A6:E6"/>
    <mergeCell ref="F6:H6"/>
    <mergeCell ref="A7:E7"/>
    <mergeCell ref="F7:H7"/>
    <mergeCell ref="A8:D8"/>
  </mergeCells>
  <phoneticPr fontId="2" type="noConversion"/>
  <pageMargins left="0.511811024" right="0.511811024" top="0.78740157499999996" bottom="0.78740157499999996" header="0.31496062000000002" footer="0.31496062000000002"/>
  <drawing r:id="rId1"/>
  <legacyDrawing r:id="rId2"/>
  <oleObjects>
    <oleObject shapeId="9217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Planilha Orcamentaria</vt:lpstr>
      <vt:lpstr>composição assentamento aduela</vt:lpstr>
      <vt:lpstr>BDI</vt:lpstr>
      <vt:lpstr>CRONOGRAMA</vt:lpstr>
      <vt:lpstr>Memoria</vt:lpstr>
      <vt:lpstr>'Planilha Orcamentaria'!Area_de_impressao</vt:lpstr>
    </vt:vector>
  </TitlesOfParts>
  <Company>Setop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Licitacao</cp:lastModifiedBy>
  <cp:lastPrinted>2018-11-09T10:19:36Z</cp:lastPrinted>
  <dcterms:created xsi:type="dcterms:W3CDTF">2006-09-22T13:55:22Z</dcterms:created>
  <dcterms:modified xsi:type="dcterms:W3CDTF">2019-07-11T18:57:36Z</dcterms:modified>
</cp:coreProperties>
</file>