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305" windowHeight="5340" activeTab="0"/>
  </bookViews>
  <sheets>
    <sheet name="Planilha de quantitativos" sheetId="1" r:id="rId1"/>
    <sheet name="Memória de cálculo" sheetId="2" r:id="rId2"/>
    <sheet name="BDI" sheetId="3" r:id="rId3"/>
    <sheet name="cronograma fisico financeiro" sheetId="4" r:id="rId4"/>
  </sheets>
  <externalReferences>
    <externalReference r:id="rId7"/>
    <externalReference r:id="rId8"/>
  </externalReferences>
  <definedNames>
    <definedName name="_xlnm.Print_Area" localSheetId="2">'BDI'!$C$1:$L$58</definedName>
    <definedName name="_xlnm.Print_Area" localSheetId="3">'cronograma fisico financeiro'!$A$1:$I$44</definedName>
    <definedName name="_xlnm.Print_Area" localSheetId="0">'Planilha de quantitativos'!$A$1:$I$55</definedName>
    <definedName name="BDI.TipoObra" hidden="1">'[2]BDI'!$A$138:$A$146</definedName>
    <definedName name="DESONERACAO" hidden="1">IF(OR(Import.Desoneracao="DESONERADO",Import.Desoneracao="SIM"),"SIM","NÃO")</definedName>
    <definedName name="Import.Apelido" hidden="1">'[2]DADOS'!$F$16</definedName>
    <definedName name="Import.CR">'[1]Dados'!$G$8</definedName>
    <definedName name="Import.DescLote" hidden="1">'[2]DADOS'!$F$17</definedName>
    <definedName name="Import.Desoneracao" hidden="1">OFFSET('[2]DADOS'!$G$18,0,-1)</definedName>
    <definedName name="Import.Município">'[1]Dados'!$G$7</definedName>
    <definedName name="Import.Proponente">'[1]Dados'!$G$6</definedName>
    <definedName name="Import.RespOrçamento" hidden="1">'[2]DADOS'!$F$22:$F$24</definedName>
    <definedName name="Import.SICONV" hidden="1">'[2]DADOS'!$F$8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B9" authorId="0">
      <text>
        <r>
          <rPr>
            <b/>
            <sz val="9"/>
            <color indexed="8"/>
            <rFont val="Tahoma"/>
            <family val="2"/>
          </rPr>
          <t xml:space="preserve">FILTRO:
</t>
        </r>
        <r>
          <rPr>
            <sz val="9"/>
            <color indexed="8"/>
            <rFont val="Tahoma"/>
            <family val="2"/>
          </rPr>
          <t>Após a conclusão do Orçamento, utilize o filtro nessa coluna com o valor "F" para ocultar linhas não utilizadas.</t>
        </r>
      </text>
    </comment>
  </commentList>
</comments>
</file>

<file path=xl/sharedStrings.xml><?xml version="1.0" encoding="utf-8"?>
<sst xmlns="http://schemas.openxmlformats.org/spreadsheetml/2006/main" count="379" uniqueCount="208">
  <si>
    <t>ITEM</t>
  </si>
  <si>
    <t>DESCRIÇÃO</t>
  </si>
  <si>
    <t>QUANTIDADE</t>
  </si>
  <si>
    <t>UNIDADE</t>
  </si>
  <si>
    <t>TOTAL</t>
  </si>
  <si>
    <t>PLANILHA ORÇAMENTÁRIA DE CUSTOS</t>
  </si>
  <si>
    <r>
      <t>FOLHA Nº</t>
    </r>
    <r>
      <rPr>
        <sz val="10"/>
        <rFont val="Arial"/>
        <family val="0"/>
      </rPr>
      <t>:</t>
    </r>
  </si>
  <si>
    <t>A N E X O   I I</t>
  </si>
  <si>
    <t>CREA: ___________</t>
  </si>
  <si>
    <t xml:space="preserve">         caso de pontes, a separação entre a infra, meso e super estrutura.</t>
  </si>
  <si>
    <t xml:space="preserve">Assinatura do engenheiro responsável técnico pela elaboração da planilha: ____________________________________________________________ </t>
  </si>
  <si>
    <r>
      <t>Obs</t>
    </r>
    <r>
      <rPr>
        <sz val="9"/>
        <rFont val="Arial"/>
        <family val="2"/>
      </rPr>
      <t>.: A planilha de custos deverá expressar a composição de todos os seus custos unitários, a resistência dos concretos, as distâncias médias de transportes e, no</t>
    </r>
  </si>
  <si>
    <t>m²</t>
  </si>
  <si>
    <t>m³</t>
  </si>
  <si>
    <t>Locação da obra</t>
  </si>
  <si>
    <t>Alvenaria e divisões</t>
  </si>
  <si>
    <t>Revestimentos</t>
  </si>
  <si>
    <t>Pisos</t>
  </si>
  <si>
    <t>Pintura</t>
  </si>
  <si>
    <t>Terraplanagem/ Trabalhos em terra</t>
  </si>
  <si>
    <t>Limpeza Geral</t>
  </si>
  <si>
    <t>Alambrado</t>
  </si>
  <si>
    <t>Equipamentos esportivos</t>
  </si>
  <si>
    <t>un.</t>
  </si>
  <si>
    <t>cj</t>
  </si>
  <si>
    <t>CÓDIGO</t>
  </si>
  <si>
    <t>Serviços preliminares</t>
  </si>
  <si>
    <t>PRE-LIM-005</t>
  </si>
  <si>
    <t xml:space="preserve">LIMPEZA DO TERRENO, CAPINA E QUEIMA                          </t>
  </si>
  <si>
    <t>IIO-PLA-005</t>
  </si>
  <si>
    <t xml:space="preserve">FORNECIMENTO E COLOCAÇÃO DE PLACA DE OBRA EM CHAPA GALVANIZADA (3,00 X 1,50 M) - GOVERNO DO ESTADO       </t>
  </si>
  <si>
    <t>uni.</t>
  </si>
  <si>
    <t>LOC-OBR-005</t>
  </si>
  <si>
    <t>LOCAÇÃO DA OBRA (GABARITO)</t>
  </si>
  <si>
    <t>FUN-LAS-010</t>
  </si>
  <si>
    <t xml:space="preserve">LASTRO DE BRITA 2 OU 3 APILOADO MANUALMENTE                   </t>
  </si>
  <si>
    <t>PIS-LAJ-025</t>
  </si>
  <si>
    <t xml:space="preserve">LAJE DE TRANSIÇÃO E= 8CM, FCK=18MPA USINADO(MECANIZADO), INCLUSIVE TELA 0,97 KG/M2 E ACABAMENTO NIVEL ZERO                    </t>
  </si>
  <si>
    <t>PIN-ACR-035</t>
  </si>
  <si>
    <t xml:space="preserve">PINTURA ACRÍLICA DE PISO DE QUADRAS ESPORTIVA </t>
  </si>
  <si>
    <t>PIN-ACR-030</t>
  </si>
  <si>
    <t xml:space="preserve">PINTURA ACRÍLICA PARA DEMARCAÇÃO DE QUADRA ESPORTIVA             </t>
  </si>
  <si>
    <t>EQP-ESP-005</t>
  </si>
  <si>
    <t xml:space="preserve">TRAVES DE GOL EM TUBO GALVANIZADO P/ QUADRA </t>
  </si>
  <si>
    <t>EQP-ESP-020</t>
  </si>
  <si>
    <t xml:space="preserve">REDE DE VÔLEI C/ MASTRO EM TUBO GALVANIZADO S/ PEDESTAL      </t>
  </si>
  <si>
    <t>EQP-ESP-030</t>
  </si>
  <si>
    <t xml:space="preserve">TABELA DE BASQUETE EM POSTE METÁLICO E SUPORTE DE PISO       </t>
  </si>
  <si>
    <t>LIM-GER-005</t>
  </si>
  <si>
    <t xml:space="preserve">LIMPEZA GERAL DE OBRA </t>
  </si>
  <si>
    <t>TER-ESC-035</t>
  </si>
  <si>
    <t xml:space="preserve">ESCAVAÇÃO MANUAL DE VALAS H &lt;= 1,5M                                                    </t>
  </si>
  <si>
    <t>ALV-EST-025</t>
  </si>
  <si>
    <t xml:space="preserve">ALVENARIA DE BLOCO DE CONCRETO CHEIO, CONCRETO 15 MPA SEM ARMAÇÃO ESP=0.15M           </t>
  </si>
  <si>
    <t>ALV-EST-010</t>
  </si>
  <si>
    <t xml:space="preserve">ALVENARIA DE BLOCO DE CONCRETO CHEIO, CONCRETO 15 MPA E ARMAÇÃO ESP=0.15M           </t>
  </si>
  <si>
    <t>ALV-TIJ-030</t>
  </si>
  <si>
    <t xml:space="preserve">ALVENARIA DE TIJOLO CERÂMICO FURADO E= 15 CM, A REVESTIR                                         </t>
  </si>
  <si>
    <t>REV-CHA-005</t>
  </si>
  <si>
    <t xml:space="preserve">CHAPISCO COM ARGAMASSA 1:3 CIM AREIA, A COLHER               </t>
  </si>
  <si>
    <t>REV-REB-005</t>
  </si>
  <si>
    <t xml:space="preserve">REBOCO C/ ARGAMASSA 1:7 CIM./AREIA                                              </t>
  </si>
  <si>
    <t>SER-ALA-010</t>
  </si>
  <si>
    <t>ALAMBRADO PARA QUADRA ESPORTIVA, COM TELA DE ARAME GALVANIZADO FIO 12 # 2", FIXADO EM QUADROS DE TUBOS DE AÇO GALVANIZADO D = 2", ALT. = 1,00 M</t>
  </si>
  <si>
    <t>PIN-LAT-005</t>
  </si>
  <si>
    <t xml:space="preserve">PINTURA LÁTEX PVA, 2 DEMÃOS SEM MASSA CORRIDA    </t>
  </si>
  <si>
    <t>TER-API-005</t>
  </si>
  <si>
    <t xml:space="preserve">APILOAMENTO DO FUNDO DE VALAS COM SOQUETE               </t>
  </si>
  <si>
    <t>SER-POR-075</t>
  </si>
  <si>
    <t xml:space="preserve">PORTÃO EM TUBO GALVANIZADO 2 1/2 C/ TELA FIO 12 # 1/2        </t>
  </si>
  <si>
    <t>MEMÓRIA DE CÁLCULO DE QUANTITATIVOS</t>
  </si>
  <si>
    <t>FÓRMULAS</t>
  </si>
  <si>
    <t>(38,3x25,8)=</t>
  </si>
  <si>
    <t>-</t>
  </si>
  <si>
    <t>(36,3x23,8)=</t>
  </si>
  <si>
    <t>(36,3+23,8+36,3+23,8)x0,2x0,3=</t>
  </si>
  <si>
    <t>(36,3+23,8+36,3+23,8)x0,2=</t>
  </si>
  <si>
    <t>(36,0x23,5)*0,05=</t>
  </si>
  <si>
    <t>(36,0x23,5)=</t>
  </si>
  <si>
    <t>Cinta: (36,3+23,8+36,3+23,8)x0,4=</t>
  </si>
  <si>
    <t>Pilaretes: (0,2x0,8)x50=</t>
  </si>
  <si>
    <t>Mureta: (36,3+23,8+36,3+23,8)x0,8-(8,0)=</t>
  </si>
  <si>
    <t>[(36,0+23,5+36,0+23,5)x0,8]+[(36,3+23,8+36,3+23,8)x0,95]=</t>
  </si>
  <si>
    <t>(32,0x20,0)=</t>
  </si>
  <si>
    <t xml:space="preserve">Volei: (18,0x2)+(9,0*4)=72,0 </t>
  </si>
  <si>
    <t>Basquete: (28,0+15,0)x2+2x(19,6+3,15+11,6+3,6+5,65)+11,30=184,5</t>
  </si>
  <si>
    <t>Futsal: (32,0+20,0)x2+20,0+18,85+(3,0+18,85)x2=186,55</t>
  </si>
  <si>
    <t>[(23,8x2,0)x2]+[(35,1x1,0)x2]=</t>
  </si>
  <si>
    <t>m</t>
  </si>
  <si>
    <t>PREÇO UNITÁRIO S/BDI</t>
  </si>
  <si>
    <t>unid</t>
  </si>
  <si>
    <t>BDI</t>
  </si>
  <si>
    <r>
      <t>DATA</t>
    </r>
    <r>
      <rPr>
        <sz val="10"/>
        <rFont val="Arial"/>
        <family val="0"/>
      </rPr>
      <t>: 15/02/2019</t>
    </r>
  </si>
  <si>
    <t>Grau de Sigilo</t>
  </si>
  <si>
    <t>#PUBLICO</t>
  </si>
  <si>
    <t>AC</t>
  </si>
  <si>
    <t>R</t>
  </si>
  <si>
    <t>DF</t>
  </si>
  <si>
    <t>L</t>
  </si>
  <si>
    <t>PROPONENTE / TOMADOR</t>
  </si>
  <si>
    <t>FILTRO</t>
  </si>
  <si>
    <t>APELIDO DO EMPREENDIMENTO / DESCRIÇÃO DO LOTE</t>
  </si>
  <si>
    <t>Conforme legislação tributária municipal, definir estimativa de percentual da base de cálculo para o ISS:</t>
  </si>
  <si>
    <t>↓</t>
  </si>
  <si>
    <t>Sobre a base de cálculo, definir a respectiva alíquota do ISS (entre 2% e 5%):</t>
  </si>
  <si>
    <t>F</t>
  </si>
  <si>
    <t>BDI 1</t>
  </si>
  <si>
    <t>TIPO DE OBRA</t>
  </si>
  <si>
    <t>Construção e Reforma de Edifícios</t>
  </si>
  <si>
    <t>Itens</t>
  </si>
  <si>
    <t>Siglas</t>
  </si>
  <si>
    <t>% Adotado</t>
  </si>
  <si>
    <t>Tributos (impostos COFINS 3%, e  PIS 0,65%)</t>
  </si>
  <si>
    <t>CP</t>
  </si>
  <si>
    <t>Tributos (ISS, variável de acordo com o município)</t>
  </si>
  <si>
    <t>ISS</t>
  </si>
  <si>
    <t>Tributos (Contribuição Previdenciária sobre a Receita Bruta - 0% ou 4,5% - Desoneração)</t>
  </si>
  <si>
    <t>CPRB</t>
  </si>
  <si>
    <t>BDI SEM desoneração (Fórmula Acórdão TCU)</t>
  </si>
  <si>
    <t>BDI PAD</t>
  </si>
  <si>
    <t>BDI COM desoneração</t>
  </si>
  <si>
    <t>BDI DES</t>
  </si>
  <si>
    <t>Os valores de BDI foram calculados com o emprego da fórmula:</t>
  </si>
  <si>
    <t>BDI =</t>
  </si>
  <si>
    <t xml:space="preserve"> - 1</t>
  </si>
  <si>
    <t>(1-CP-ISS-CRPB)</t>
  </si>
  <si>
    <t>Observações:</t>
  </si>
  <si>
    <t>Local</t>
  </si>
  <si>
    <t>Data</t>
  </si>
  <si>
    <t>Responsável Técnico</t>
  </si>
  <si>
    <t>Nome:</t>
  </si>
  <si>
    <t>CREA/CAU:</t>
  </si>
  <si>
    <t>ART/RRT:</t>
  </si>
  <si>
    <t>Situação</t>
  </si>
  <si>
    <t>1º Quartil</t>
  </si>
  <si>
    <t>Médio</t>
  </si>
  <si>
    <t>3º Quartil</t>
  </si>
  <si>
    <t>Quadro de Composição do BDI</t>
  </si>
  <si>
    <t>PREFEITURA MUNICIPAL DE PAINS</t>
  </si>
  <si>
    <t>Administração Central</t>
  </si>
  <si>
    <t>Seguro e Garantia</t>
  </si>
  <si>
    <t>SG</t>
  </si>
  <si>
    <t>Risco</t>
  </si>
  <si>
    <t>Despesas Financeiras</t>
  </si>
  <si>
    <t>Lucro</t>
  </si>
  <si>
    <t>OK</t>
  </si>
  <si>
    <t/>
  </si>
  <si>
    <t>(1+AC + S + R + G)*(1 + DF)*(1+L)</t>
  </si>
  <si>
    <t>Declaro para os devidos fins que, conforme legislação tributária municipal, a base de cálculo deste tipo de obra corresponde à 3%, com a respectiva alíquota de 100%.</t>
  </si>
  <si>
    <t>Declaro para os devidos fins que o regime de Contribuição Previdenciária sobre a Receita Bruta adotado para elaboração do orçamento foi COM Desoneração, e que esta é a alternativa mais adequada para a Administração Pública.</t>
  </si>
  <si>
    <t>PAINS-MG</t>
  </si>
  <si>
    <t>ÁLLAN FELIPE DA SILVA PEREIRA</t>
  </si>
  <si>
    <t>201.236</t>
  </si>
  <si>
    <t>CONTRA PARTIDA FÍSICA DA PREFEITURA</t>
  </si>
  <si>
    <t>1.1</t>
  </si>
  <si>
    <t>1.2</t>
  </si>
  <si>
    <t>2.1</t>
  </si>
  <si>
    <t>3.1</t>
  </si>
  <si>
    <t>4.1</t>
  </si>
  <si>
    <t>4.2</t>
  </si>
  <si>
    <t>4.3</t>
  </si>
  <si>
    <t>5.1</t>
  </si>
  <si>
    <t>5.2</t>
  </si>
  <si>
    <t>5.3</t>
  </si>
  <si>
    <t>6.1</t>
  </si>
  <si>
    <t>6.2</t>
  </si>
  <si>
    <t>7.1</t>
  </si>
  <si>
    <t>7.2</t>
  </si>
  <si>
    <t>7.3</t>
  </si>
  <si>
    <t>8.1</t>
  </si>
  <si>
    <t>8.2</t>
  </si>
  <si>
    <t>9.1</t>
  </si>
  <si>
    <t>9.2</t>
  </si>
  <si>
    <t>9.3</t>
  </si>
  <si>
    <t>10.1</t>
  </si>
  <si>
    <t>A N E X O   I I I</t>
  </si>
  <si>
    <t>CRONOGRAMA FÍSICO-FINANCEIRO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</si>
  <si>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</si>
  <si>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</si>
  <si>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</si>
  <si>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</si>
  <si>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</si>
  <si>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</si>
  <si>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</si>
  <si>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Físico %</t>
  </si>
  <si>
    <t>Financeiro</t>
  </si>
  <si>
    <t>Carimbo e assinatura do engenheiro responsável técnico pela elaboração do cronograma</t>
  </si>
  <si>
    <t>CREA</t>
  </si>
  <si>
    <t>Carimbo e assinatura do prefeito</t>
  </si>
  <si>
    <t xml:space="preserve">97114 </t>
  </si>
  <si>
    <t xml:space="preserve">EXECUÇÃO DE JUNTAS DE CONTRAÇÃO PARA PAVIMENTOS DE CONCRETO. AF_11/201 7
</t>
  </si>
  <si>
    <t>TOTAL S/BDI</t>
  </si>
  <si>
    <r>
      <t>VALIDADE</t>
    </r>
    <r>
      <rPr>
        <sz val="10"/>
        <rFont val="Arial"/>
        <family val="0"/>
      </rPr>
      <t>: 120 dias</t>
    </r>
  </si>
  <si>
    <r>
      <t>LOCAL</t>
    </r>
    <r>
      <rPr>
        <sz val="10"/>
        <rFont val="Arial"/>
        <family val="0"/>
      </rPr>
      <t>: Capoeirão - Pains/MG</t>
    </r>
  </si>
  <si>
    <t>(11*36,3+17*23,8)=</t>
  </si>
  <si>
    <t>Construção Quadra Poliesportiva com demarcação e alambrado completo na Comunidade Rural do Capoeirão</t>
  </si>
  <si>
    <t>(2*1,2*2)</t>
  </si>
  <si>
    <r>
      <t>OBRA</t>
    </r>
    <r>
      <rPr>
        <sz val="10"/>
        <rFont val="Arial"/>
        <family val="0"/>
      </rPr>
      <t>: Construção Quadra Poliesportiva com demarcação e alambrado completo na Comunidade Rural do Capoeirão</t>
    </r>
  </si>
  <si>
    <t>SETOP</t>
  </si>
  <si>
    <r>
      <t xml:space="preserve">PREFEITURA: </t>
    </r>
    <r>
      <rPr>
        <sz val="12"/>
        <rFont val="Century Gothic"/>
        <family val="2"/>
      </rPr>
      <t>Pains-MG</t>
    </r>
  </si>
  <si>
    <r>
      <t xml:space="preserve">DATA: </t>
    </r>
    <r>
      <rPr>
        <sz val="12"/>
        <rFont val="Century Gothic"/>
        <family val="2"/>
      </rPr>
      <t>20/02/2019</t>
    </r>
  </si>
  <si>
    <r>
      <t xml:space="preserve">OBRA:  </t>
    </r>
    <r>
      <rPr>
        <sz val="12"/>
        <rFont val="Century Gothic"/>
        <family val="2"/>
      </rPr>
      <t>Construção Quadra Poliesportiva com demarcação e alambrado completo na Comunidade Rural do Capoeirão</t>
    </r>
  </si>
  <si>
    <r>
      <t>LOCAL:</t>
    </r>
    <r>
      <rPr>
        <sz val="12"/>
        <rFont val="Century Gothic"/>
        <family val="2"/>
      </rPr>
      <t xml:space="preserve"> Capoeirão - Pains/MG</t>
    </r>
  </si>
  <si>
    <r>
      <t xml:space="preserve">PRAZO DA OBRA: </t>
    </r>
    <r>
      <rPr>
        <sz val="12"/>
        <rFont val="Century Gothic"/>
        <family val="2"/>
      </rPr>
      <t>120 dias</t>
    </r>
  </si>
  <si>
    <t>PREÇO UNITÁRIO C/BDI</t>
  </si>
  <si>
    <t>TOTAL C/BDI</t>
  </si>
  <si>
    <t>ESTADO DE MINAS GERAIS</t>
  </si>
  <si>
    <r>
      <t xml:space="preserve">VALOR DO CONVÊNIO: </t>
    </r>
    <r>
      <rPr>
        <sz val="12"/>
        <rFont val="Century Gothic"/>
        <family val="2"/>
      </rPr>
      <t>R$ 155.111,92</t>
    </r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</si>
</sst>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_);_(&quot;R$ &quot;* \(#,##0.00\);_(&quot;R$ &quot;* \-??_);_(@_)"/>
    <numFmt numFmtId="177" formatCode="General;General"/>
    <numFmt numFmtId="178" formatCode="[$-F800]dddd\,\ mmmm\ dd\,\ yyyy"/>
    <numFmt numFmtId="179" formatCode="dd&quot; de &quot;mmmm&quot; de &quot;yyyy"/>
    <numFmt numFmtId="180" formatCode="[$-416]dddd\,\ d&quot; de &quot;mmmm&quot; de &quot;yyyy"/>
    <numFmt numFmtId="181" formatCode="0.0%"/>
    <numFmt numFmtId="182" formatCode="&quot;R$ &quot;#,##0.00"/>
    <numFmt numFmtId="183" formatCode="&quot;Ativado&quot;;&quot;Ativado&quot;;&quot;Desativado&quot;"/>
  </numFmts>
  <fonts count="7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i/>
      <sz val="12"/>
      <name val="Calibri"/>
      <family val="2"/>
    </font>
    <font>
      <i/>
      <u val="single"/>
      <sz val="12"/>
      <name val="Calibri"/>
      <family val="2"/>
    </font>
    <font>
      <u val="single"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b/>
      <sz val="14"/>
      <name val="Arial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u val="single"/>
      <sz val="10"/>
      <color indexed="8"/>
      <name val="Calibri"/>
      <family val="0"/>
    </font>
    <font>
      <sz val="11"/>
      <color indexed="8"/>
      <name val="Century Gothic"/>
      <family val="0"/>
    </font>
    <font>
      <sz val="9"/>
      <color indexed="8"/>
      <name val="Century Gothic"/>
      <family val="0"/>
    </font>
    <font>
      <sz val="8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hair"/>
      <bottom style="hair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</cellStyleXfs>
  <cellXfs count="26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2" fontId="0" fillId="0" borderId="10" xfId="56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vertical="center"/>
    </xf>
    <xf numFmtId="0" fontId="6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/>
    </xf>
    <xf numFmtId="2" fontId="5" fillId="0" borderId="10" xfId="56" applyNumberFormat="1" applyFont="1" applyFill="1" applyBorder="1" applyAlignment="1">
      <alignment/>
    </xf>
    <xf numFmtId="49" fontId="10" fillId="34" borderId="10" xfId="0" applyNumberFormat="1" applyFont="1" applyFill="1" applyBorder="1" applyAlignment="1">
      <alignment wrapText="1"/>
    </xf>
    <xf numFmtId="49" fontId="10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1" fontId="5" fillId="0" borderId="10" xfId="56" applyFont="1" applyFill="1" applyBorder="1" applyAlignment="1">
      <alignment/>
    </xf>
    <xf numFmtId="171" fontId="5" fillId="0" borderId="11" xfId="56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33" borderId="15" xfId="0" applyFill="1" applyBorder="1" applyAlignment="1">
      <alignment vertical="center"/>
    </xf>
    <xf numFmtId="2" fontId="5" fillId="0" borderId="10" xfId="56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9" fillId="33" borderId="10" xfId="0" applyFont="1" applyFill="1" applyBorder="1" applyAlignment="1">
      <alignment horizontal="center"/>
    </xf>
    <xf numFmtId="2" fontId="0" fillId="0" borderId="10" xfId="56" applyNumberFormat="1" applyFont="1" applyFill="1" applyBorder="1" applyAlignment="1">
      <alignment horizontal="center"/>
    </xf>
    <xf numFmtId="2" fontId="5" fillId="0" borderId="10" xfId="56" applyNumberFormat="1" applyFont="1" applyFill="1" applyBorder="1" applyAlignment="1">
      <alignment horizontal="center" vertical="center"/>
    </xf>
    <xf numFmtId="2" fontId="0" fillId="0" borderId="10" xfId="56" applyNumberFormat="1" applyFont="1" applyFill="1" applyBorder="1" applyAlignment="1">
      <alignment horizontal="center" vertical="center"/>
    </xf>
    <xf numFmtId="49" fontId="5" fillId="0" borderId="10" xfId="56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170" fontId="5" fillId="0" borderId="10" xfId="47" applyFont="1" applyBorder="1" applyAlignment="1">
      <alignment vertical="center"/>
    </xf>
    <xf numFmtId="170" fontId="0" fillId="33" borderId="10" xfId="47" applyFont="1" applyFill="1" applyBorder="1" applyAlignment="1">
      <alignment vertical="center"/>
    </xf>
    <xf numFmtId="170" fontId="0" fillId="0" borderId="10" xfId="47" applyFont="1" applyBorder="1" applyAlignment="1">
      <alignment vertical="center"/>
    </xf>
    <xf numFmtId="171" fontId="5" fillId="0" borderId="10" xfId="56" applyFont="1" applyFill="1" applyBorder="1" applyAlignment="1">
      <alignment horizontal="center" vertical="center"/>
    </xf>
    <xf numFmtId="170" fontId="2" fillId="33" borderId="10" xfId="0" applyNumberFormat="1" applyFont="1" applyFill="1" applyBorder="1" applyAlignment="1">
      <alignment vertical="center"/>
    </xf>
    <xf numFmtId="170" fontId="2" fillId="33" borderId="10" xfId="47" applyFont="1" applyFill="1" applyBorder="1" applyAlignment="1">
      <alignment vertical="center"/>
    </xf>
    <xf numFmtId="170" fontId="0" fillId="0" borderId="10" xfId="47" applyFont="1" applyBorder="1" applyAlignment="1">
      <alignment vertical="center"/>
    </xf>
    <xf numFmtId="170" fontId="0" fillId="0" borderId="10" xfId="47" applyFont="1" applyFill="1" applyBorder="1" applyAlignment="1">
      <alignment vertical="center"/>
    </xf>
    <xf numFmtId="170" fontId="0" fillId="0" borderId="0" xfId="47" applyFont="1" applyAlignment="1">
      <alignment/>
    </xf>
    <xf numFmtId="170" fontId="0" fillId="0" borderId="0" xfId="47" applyFont="1" applyAlignment="1">
      <alignment/>
    </xf>
    <xf numFmtId="170" fontId="2" fillId="0" borderId="10" xfId="47" applyFont="1" applyBorder="1" applyAlignment="1">
      <alignment horizontal="center"/>
    </xf>
    <xf numFmtId="170" fontId="2" fillId="0" borderId="10" xfId="47" applyFont="1" applyBorder="1" applyAlignment="1">
      <alignment horizontal="center" vertical="center" wrapText="1"/>
    </xf>
    <xf numFmtId="0" fontId="0" fillId="0" borderId="0" xfId="51" applyFont="1" applyProtection="1">
      <alignment/>
      <protection/>
    </xf>
    <xf numFmtId="0" fontId="2" fillId="0" borderId="0" xfId="51" applyFont="1" applyProtection="1">
      <alignment/>
      <protection/>
    </xf>
    <xf numFmtId="1" fontId="12" fillId="0" borderId="0" xfId="0" applyNumberFormat="1" applyFont="1" applyAlignment="1">
      <alignment horizontal="center" vertical="center"/>
    </xf>
    <xf numFmtId="0" fontId="5" fillId="0" borderId="0" xfId="51" applyFont="1" applyFill="1" applyBorder="1" applyAlignment="1" applyProtection="1">
      <alignment horizontal="left"/>
      <protection/>
    </xf>
    <xf numFmtId="0" fontId="13" fillId="0" borderId="19" xfId="51" applyFont="1" applyBorder="1" applyAlignment="1" applyProtection="1">
      <alignment horizontal="center" vertical="center"/>
      <protection/>
    </xf>
    <xf numFmtId="10" fontId="13" fillId="35" borderId="19" xfId="51" applyNumberFormat="1" applyFont="1" applyFill="1" applyBorder="1" applyAlignment="1" applyProtection="1">
      <alignment horizontal="center" vertical="center"/>
      <protection locked="0"/>
    </xf>
    <xf numFmtId="10" fontId="13" fillId="0" borderId="19" xfId="51" applyNumberFormat="1" applyFont="1" applyFill="1" applyBorder="1" applyAlignment="1" applyProtection="1">
      <alignment horizontal="center" vertical="center"/>
      <protection/>
    </xf>
    <xf numFmtId="0" fontId="13" fillId="0" borderId="19" xfId="51" applyFont="1" applyFill="1" applyBorder="1" applyAlignment="1" applyProtection="1">
      <alignment horizontal="center" vertical="center" wrapText="1"/>
      <protection/>
    </xf>
    <xf numFmtId="0" fontId="13" fillId="36" borderId="19" xfId="51" applyFont="1" applyFill="1" applyBorder="1" applyAlignment="1" applyProtection="1">
      <alignment horizontal="center" vertical="center" wrapText="1"/>
      <protection/>
    </xf>
    <xf numFmtId="10" fontId="6" fillId="36" borderId="19" xfId="51" applyNumberFormat="1" applyFont="1" applyFill="1" applyBorder="1" applyAlignment="1" applyProtection="1">
      <alignment horizontal="center" vertical="center"/>
      <protection/>
    </xf>
    <xf numFmtId="0" fontId="14" fillId="0" borderId="0" xfId="51" applyFont="1" applyBorder="1" applyAlignment="1" applyProtection="1">
      <alignment horizontal="right" vertical="center"/>
      <protection/>
    </xf>
    <xf numFmtId="0" fontId="0" fillId="0" borderId="0" xfId="51" applyFont="1" applyBorder="1" applyAlignment="1" applyProtection="1">
      <alignment horizontal="center" vertical="top"/>
      <protection/>
    </xf>
    <xf numFmtId="0" fontId="18" fillId="0" borderId="0" xfId="51" applyFont="1" applyBorder="1" applyAlignment="1" applyProtection="1">
      <alignment horizontal="center" vertical="top"/>
      <protection/>
    </xf>
    <xf numFmtId="179" fontId="0" fillId="0" borderId="0" xfId="51" applyNumberFormat="1" applyFont="1" applyAlignment="1" applyProtection="1">
      <alignment/>
      <protection/>
    </xf>
    <xf numFmtId="0" fontId="2" fillId="0" borderId="20" xfId="51" applyFont="1" applyBorder="1" applyAlignment="1" applyProtection="1">
      <alignment horizontal="left"/>
      <protection/>
    </xf>
    <xf numFmtId="0" fontId="0" fillId="0" borderId="20" xfId="51" applyFont="1" applyBorder="1" applyProtection="1">
      <alignment/>
      <protection/>
    </xf>
    <xf numFmtId="0" fontId="13" fillId="0" borderId="0" xfId="51" applyFont="1" applyBorder="1" applyProtection="1">
      <alignment/>
      <protection/>
    </xf>
    <xf numFmtId="0" fontId="0" fillId="0" borderId="0" xfId="51" applyFont="1" applyBorder="1" applyProtection="1">
      <alignment/>
      <protection/>
    </xf>
    <xf numFmtId="0" fontId="2" fillId="0" borderId="0" xfId="52" applyFont="1" applyBorder="1" applyAlignment="1" applyProtection="1">
      <alignment horizontal="left" vertical="top"/>
      <protection/>
    </xf>
    <xf numFmtId="0" fontId="0" fillId="0" borderId="0" xfId="51" applyNumberFormat="1" applyFont="1" applyFill="1" applyBorder="1" applyAlignment="1" applyProtection="1">
      <alignment vertical="top"/>
      <protection/>
    </xf>
    <xf numFmtId="177" fontId="0" fillId="0" borderId="0" xfId="51" applyNumberFormat="1" applyFont="1" applyFill="1" applyBorder="1" applyAlignment="1" applyProtection="1">
      <alignment/>
      <protection/>
    </xf>
    <xf numFmtId="0" fontId="13" fillId="0" borderId="0" xfId="51" applyFont="1" applyProtection="1">
      <alignment/>
      <protection/>
    </xf>
    <xf numFmtId="10" fontId="13" fillId="0" borderId="19" xfId="51" applyNumberFormat="1" applyFont="1" applyFill="1" applyBorder="1" applyAlignment="1" applyProtection="1">
      <alignment horizontal="center" vertical="center" wrapText="1"/>
      <protection/>
    </xf>
    <xf numFmtId="177" fontId="0" fillId="0" borderId="0" xfId="51" applyNumberFormat="1" applyFont="1" applyFill="1" applyBorder="1" applyAlignment="1" applyProtection="1">
      <alignment vertical="top"/>
      <protection/>
    </xf>
    <xf numFmtId="0" fontId="2" fillId="0" borderId="21" xfId="52" applyFont="1" applyBorder="1" applyAlignment="1" applyProtection="1">
      <alignment vertical="top"/>
      <protection/>
    </xf>
    <xf numFmtId="0" fontId="2" fillId="0" borderId="22" xfId="52" applyFont="1" applyBorder="1" applyAlignment="1" applyProtection="1">
      <alignment vertical="top"/>
      <protection/>
    </xf>
    <xf numFmtId="0" fontId="2" fillId="0" borderId="0" xfId="52" applyFont="1" applyBorder="1" applyAlignment="1" applyProtection="1">
      <alignment vertical="top"/>
      <protection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1" fillId="34" borderId="23" xfId="0" applyFont="1" applyFill="1" applyBorder="1" applyAlignment="1">
      <alignment/>
    </xf>
    <xf numFmtId="0" fontId="21" fillId="34" borderId="24" xfId="0" applyFont="1" applyFill="1" applyBorder="1" applyAlignment="1">
      <alignment/>
    </xf>
    <xf numFmtId="0" fontId="21" fillId="34" borderId="24" xfId="0" applyFont="1" applyFill="1" applyBorder="1" applyAlignment="1">
      <alignment wrapText="1"/>
    </xf>
    <xf numFmtId="0" fontId="21" fillId="34" borderId="25" xfId="0" applyFont="1" applyFill="1" applyBorder="1" applyAlignment="1">
      <alignment/>
    </xf>
    <xf numFmtId="0" fontId="21" fillId="34" borderId="0" xfId="0" applyFont="1" applyFill="1" applyAlignment="1">
      <alignment/>
    </xf>
    <xf numFmtId="0" fontId="21" fillId="34" borderId="0" xfId="0" applyFont="1" applyFill="1" applyAlignment="1">
      <alignment wrapText="1"/>
    </xf>
    <xf numFmtId="0" fontId="21" fillId="34" borderId="0" xfId="0" applyFont="1" applyFill="1" applyBorder="1" applyAlignment="1">
      <alignment vertical="center"/>
    </xf>
    <xf numFmtId="0" fontId="21" fillId="34" borderId="0" xfId="0" applyFont="1" applyFill="1" applyBorder="1" applyAlignment="1">
      <alignment vertical="center" wrapText="1"/>
    </xf>
    <xf numFmtId="0" fontId="23" fillId="34" borderId="26" xfId="0" applyFont="1" applyFill="1" applyBorder="1" applyAlignment="1">
      <alignment wrapText="1"/>
    </xf>
    <xf numFmtId="0" fontId="23" fillId="34" borderId="27" xfId="0" applyFont="1" applyFill="1" applyBorder="1" applyAlignment="1">
      <alignment wrapText="1"/>
    </xf>
    <xf numFmtId="0" fontId="21" fillId="34" borderId="27" xfId="0" applyFont="1" applyFill="1" applyBorder="1" applyAlignment="1">
      <alignment/>
    </xf>
    <xf numFmtId="0" fontId="21" fillId="34" borderId="28" xfId="0" applyFont="1" applyFill="1" applyBorder="1" applyAlignment="1">
      <alignment/>
    </xf>
    <xf numFmtId="0" fontId="23" fillId="34" borderId="29" xfId="0" applyFont="1" applyFill="1" applyBorder="1" applyAlignment="1">
      <alignment wrapText="1"/>
    </xf>
    <xf numFmtId="0" fontId="21" fillId="0" borderId="30" xfId="0" applyFont="1" applyBorder="1" applyAlignment="1">
      <alignment vertical="center"/>
    </xf>
    <xf numFmtId="0" fontId="23" fillId="34" borderId="0" xfId="0" applyFont="1" applyFill="1" applyBorder="1" applyAlignment="1">
      <alignment wrapText="1"/>
    </xf>
    <xf numFmtId="0" fontId="23" fillId="34" borderId="30" xfId="0" applyFont="1" applyFill="1" applyBorder="1" applyAlignment="1">
      <alignment wrapText="1"/>
    </xf>
    <xf numFmtId="0" fontId="21" fillId="34" borderId="0" xfId="0" applyFont="1" applyFill="1" applyBorder="1" applyAlignment="1">
      <alignment/>
    </xf>
    <xf numFmtId="0" fontId="24" fillId="34" borderId="31" xfId="0" applyFont="1" applyFill="1" applyBorder="1" applyAlignment="1">
      <alignment/>
    </xf>
    <xf numFmtId="0" fontId="21" fillId="34" borderId="0" xfId="0" applyFont="1" applyFill="1" applyBorder="1" applyAlignment="1">
      <alignment wrapText="1"/>
    </xf>
    <xf numFmtId="0" fontId="21" fillId="34" borderId="31" xfId="0" applyFont="1" applyFill="1" applyBorder="1" applyAlignment="1">
      <alignment/>
    </xf>
    <xf numFmtId="0" fontId="21" fillId="34" borderId="29" xfId="0" applyFont="1" applyFill="1" applyBorder="1" applyAlignment="1">
      <alignment/>
    </xf>
    <xf numFmtId="0" fontId="26" fillId="34" borderId="29" xfId="0" applyFont="1" applyFill="1" applyBorder="1" applyAlignment="1">
      <alignment/>
    </xf>
    <xf numFmtId="0" fontId="26" fillId="34" borderId="0" xfId="0" applyFont="1" applyFill="1" applyBorder="1" applyAlignment="1">
      <alignment wrapText="1"/>
    </xf>
    <xf numFmtId="0" fontId="23" fillId="34" borderId="0" xfId="0" applyFont="1" applyFill="1" applyBorder="1" applyAlignment="1">
      <alignment horizontal="right"/>
    </xf>
    <xf numFmtId="0" fontId="24" fillId="34" borderId="32" xfId="0" applyFont="1" applyFill="1" applyBorder="1" applyAlignment="1">
      <alignment wrapText="1"/>
    </xf>
    <xf numFmtId="0" fontId="21" fillId="34" borderId="32" xfId="0" applyFont="1" applyFill="1" applyBorder="1" applyAlignment="1">
      <alignment/>
    </xf>
    <xf numFmtId="0" fontId="21" fillId="34" borderId="33" xfId="0" applyFont="1" applyFill="1" applyBorder="1" applyAlignment="1">
      <alignment/>
    </xf>
    <xf numFmtId="0" fontId="25" fillId="0" borderId="34" xfId="0" applyFont="1" applyBorder="1" applyAlignment="1">
      <alignment vertical="center"/>
    </xf>
    <xf numFmtId="0" fontId="21" fillId="0" borderId="30" xfId="0" applyFont="1" applyBorder="1" applyAlignment="1">
      <alignment vertical="center" wrapText="1"/>
    </xf>
    <xf numFmtId="0" fontId="25" fillId="0" borderId="35" xfId="0" applyFont="1" applyBorder="1" applyAlignment="1">
      <alignment vertical="top"/>
    </xf>
    <xf numFmtId="0" fontId="0" fillId="0" borderId="35" xfId="0" applyBorder="1" applyAlignment="1">
      <alignment/>
    </xf>
    <xf numFmtId="18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70" fontId="0" fillId="0" borderId="0" xfId="47" applyFont="1" applyBorder="1" applyAlignment="1">
      <alignment/>
    </xf>
    <xf numFmtId="0" fontId="0" fillId="33" borderId="37" xfId="0" applyFill="1" applyBorder="1" applyAlignment="1">
      <alignment vertical="center"/>
    </xf>
    <xf numFmtId="2" fontId="4" fillId="0" borderId="37" xfId="0" applyNumberFormat="1" applyFont="1" applyBorder="1" applyAlignment="1">
      <alignment horizontal="right" vertical="center"/>
    </xf>
    <xf numFmtId="2" fontId="2" fillId="33" borderId="37" xfId="0" applyNumberFormat="1" applyFont="1" applyFill="1" applyBorder="1" applyAlignment="1">
      <alignment horizontal="right" vertical="center"/>
    </xf>
    <xf numFmtId="2" fontId="2" fillId="0" borderId="37" xfId="0" applyNumberFormat="1" applyFont="1" applyBorder="1" applyAlignment="1">
      <alignment horizontal="right" vertical="center"/>
    </xf>
    <xf numFmtId="2" fontId="2" fillId="0" borderId="37" xfId="56" applyNumberFormat="1" applyFont="1" applyFill="1" applyBorder="1" applyAlignment="1">
      <alignment horizontal="right"/>
    </xf>
    <xf numFmtId="2" fontId="2" fillId="0" borderId="34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37" xfId="56" applyNumberFormat="1" applyFont="1" applyFill="1" applyBorder="1" applyAlignment="1">
      <alignment horizontal="right" vertical="center"/>
    </xf>
    <xf numFmtId="2" fontId="2" fillId="0" borderId="37" xfId="0" applyNumberFormat="1" applyFont="1" applyFill="1" applyBorder="1" applyAlignment="1">
      <alignment horizontal="right" vertical="center"/>
    </xf>
    <xf numFmtId="49" fontId="5" fillId="0" borderId="10" xfId="56" applyNumberFormat="1" applyFont="1" applyBorder="1" applyAlignment="1">
      <alignment horizontal="left" vertical="center"/>
    </xf>
    <xf numFmtId="49" fontId="5" fillId="0" borderId="10" xfId="56" applyNumberFormat="1" applyFont="1" applyBorder="1" applyAlignment="1">
      <alignment horizontal="left" vertical="center" wrapText="1"/>
    </xf>
    <xf numFmtId="0" fontId="17" fillId="0" borderId="0" xfId="0" applyFont="1" applyBorder="1" applyAlignment="1" applyProtection="1">
      <alignment/>
      <protection/>
    </xf>
    <xf numFmtId="0" fontId="0" fillId="0" borderId="0" xfId="51" applyFont="1" applyProtection="1">
      <alignment/>
      <protection/>
    </xf>
    <xf numFmtId="0" fontId="21" fillId="34" borderId="29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21" fillId="34" borderId="31" xfId="0" applyFont="1" applyFill="1" applyBorder="1" applyAlignment="1">
      <alignment/>
    </xf>
    <xf numFmtId="0" fontId="21" fillId="34" borderId="29" xfId="0" applyFont="1" applyFill="1" applyBorder="1" applyAlignment="1">
      <alignment vertical="center"/>
    </xf>
    <xf numFmtId="0" fontId="21" fillId="34" borderId="31" xfId="0" applyFont="1" applyFill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5" fillId="0" borderId="39" xfId="0" applyFont="1" applyBorder="1" applyAlignment="1">
      <alignment vertical="top"/>
    </xf>
    <xf numFmtId="10" fontId="2" fillId="0" borderId="11" xfId="54" applyNumberFormat="1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0" fontId="22" fillId="34" borderId="40" xfId="0" applyFont="1" applyFill="1" applyBorder="1" applyAlignment="1">
      <alignment horizontal="center" vertical="center"/>
    </xf>
    <xf numFmtId="0" fontId="22" fillId="34" borderId="41" xfId="0" applyFont="1" applyFill="1" applyBorder="1" applyAlignment="1">
      <alignment horizontal="center" vertical="center"/>
    </xf>
    <xf numFmtId="0" fontId="22" fillId="34" borderId="41" xfId="0" applyFont="1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/>
    </xf>
    <xf numFmtId="49" fontId="29" fillId="34" borderId="43" xfId="0" applyNumberFormat="1" applyFont="1" applyFill="1" applyBorder="1" applyAlignment="1">
      <alignment horizontal="center" vertical="top" wrapText="1"/>
    </xf>
    <xf numFmtId="10" fontId="29" fillId="34" borderId="43" xfId="0" applyNumberFormat="1" applyFont="1" applyFill="1" applyBorder="1" applyAlignment="1">
      <alignment vertical="top" wrapText="1"/>
    </xf>
    <xf numFmtId="10" fontId="28" fillId="34" borderId="43" xfId="56" applyNumberFormat="1" applyFont="1" applyFill="1" applyBorder="1" applyAlignment="1">
      <alignment vertical="top" wrapText="1"/>
    </xf>
    <xf numFmtId="10" fontId="28" fillId="34" borderId="43" xfId="0" applyNumberFormat="1" applyFont="1" applyFill="1" applyBorder="1" applyAlignment="1">
      <alignment vertical="top" wrapText="1"/>
    </xf>
    <xf numFmtId="10" fontId="28" fillId="34" borderId="44" xfId="0" applyNumberFormat="1" applyFont="1" applyFill="1" applyBorder="1" applyAlignment="1">
      <alignment vertical="top" wrapText="1"/>
    </xf>
    <xf numFmtId="49" fontId="29" fillId="34" borderId="12" xfId="0" applyNumberFormat="1" applyFont="1" applyFill="1" applyBorder="1" applyAlignment="1">
      <alignment horizontal="center" vertical="top" wrapText="1"/>
    </xf>
    <xf numFmtId="4" fontId="29" fillId="34" borderId="12" xfId="0" applyNumberFormat="1" applyFont="1" applyFill="1" applyBorder="1" applyAlignment="1">
      <alignment vertical="top" wrapText="1"/>
    </xf>
    <xf numFmtId="4" fontId="29" fillId="34" borderId="45" xfId="0" applyNumberFormat="1" applyFont="1" applyFill="1" applyBorder="1" applyAlignment="1">
      <alignment vertical="top" wrapText="1"/>
    </xf>
    <xf numFmtId="49" fontId="30" fillId="34" borderId="46" xfId="0" applyNumberFormat="1" applyFont="1" applyFill="1" applyBorder="1" applyAlignment="1">
      <alignment horizontal="center" vertical="top" wrapText="1"/>
    </xf>
    <xf numFmtId="10" fontId="30" fillId="34" borderId="46" xfId="0" applyNumberFormat="1" applyFont="1" applyFill="1" applyBorder="1" applyAlignment="1">
      <alignment vertical="top" wrapText="1"/>
    </xf>
    <xf numFmtId="10" fontId="30" fillId="34" borderId="47" xfId="0" applyNumberFormat="1" applyFont="1" applyFill="1" applyBorder="1" applyAlignment="1">
      <alignment vertical="top" wrapText="1"/>
    </xf>
    <xf numFmtId="49" fontId="30" fillId="34" borderId="48" xfId="0" applyNumberFormat="1" applyFont="1" applyFill="1" applyBorder="1" applyAlignment="1">
      <alignment horizontal="center" vertical="top" wrapText="1"/>
    </xf>
    <xf numFmtId="182" fontId="30" fillId="34" borderId="48" xfId="0" applyNumberFormat="1" applyFont="1" applyFill="1" applyBorder="1" applyAlignment="1">
      <alignment vertical="top" wrapText="1"/>
    </xf>
    <xf numFmtId="182" fontId="30" fillId="34" borderId="49" xfId="0" applyNumberFormat="1" applyFont="1" applyFill="1" applyBorder="1" applyAlignment="1">
      <alignment vertical="top" wrapText="1"/>
    </xf>
    <xf numFmtId="0" fontId="18" fillId="0" borderId="0" xfId="0" applyFont="1" applyAlignment="1">
      <alignment/>
    </xf>
    <xf numFmtId="0" fontId="10" fillId="0" borderId="10" xfId="0" applyFont="1" applyBorder="1" applyAlignment="1">
      <alignment horizontal="left" vertical="top" wrapText="1"/>
    </xf>
    <xf numFmtId="0" fontId="34" fillId="0" borderId="0" xfId="0" applyFont="1" applyAlignment="1">
      <alignment horizontal="center" vertical="center" wrapText="1"/>
    </xf>
    <xf numFmtId="2" fontId="0" fillId="0" borderId="10" xfId="56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37" borderId="0" xfId="0" applyFont="1" applyFill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70" fontId="5" fillId="0" borderId="18" xfId="47" applyFont="1" applyBorder="1" applyAlignment="1">
      <alignment horizontal="center" vertical="center"/>
    </xf>
    <xf numFmtId="170" fontId="5" fillId="0" borderId="37" xfId="47" applyFont="1" applyBorder="1" applyAlignment="1">
      <alignment horizontal="center" vertical="center"/>
    </xf>
    <xf numFmtId="170" fontId="5" fillId="0" borderId="15" xfId="47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0" fontId="0" fillId="35" borderId="19" xfId="51" applyNumberFormat="1" applyFont="1" applyFill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center"/>
      <protection/>
    </xf>
    <xf numFmtId="0" fontId="2" fillId="0" borderId="52" xfId="0" applyFont="1" applyBorder="1" applyAlignment="1" applyProtection="1">
      <alignment horizontal="center"/>
      <protection/>
    </xf>
    <xf numFmtId="0" fontId="0" fillId="0" borderId="52" xfId="51" applyFont="1" applyFill="1" applyBorder="1" applyAlignment="1" applyProtection="1">
      <alignment horizontal="left" vertical="top" wrapText="1"/>
      <protection/>
    </xf>
    <xf numFmtId="0" fontId="0" fillId="0" borderId="52" xfId="51" applyFont="1" applyFill="1" applyBorder="1" applyAlignment="1" applyProtection="1">
      <alignment horizontal="left" vertical="top" wrapText="1"/>
      <protection/>
    </xf>
    <xf numFmtId="0" fontId="2" fillId="0" borderId="51" xfId="52" applyFont="1" applyBorder="1" applyAlignment="1" applyProtection="1">
      <alignment horizontal="left" vertical="top"/>
      <protection/>
    </xf>
    <xf numFmtId="0" fontId="27" fillId="0" borderId="0" xfId="51" applyFont="1" applyAlignment="1" applyProtection="1">
      <alignment horizontal="center"/>
      <protection/>
    </xf>
    <xf numFmtId="0" fontId="3" fillId="0" borderId="0" xfId="51" applyFont="1" applyAlignment="1" applyProtection="1">
      <alignment horizontal="center"/>
      <protection/>
    </xf>
    <xf numFmtId="0" fontId="3" fillId="0" borderId="22" xfId="51" applyFont="1" applyBorder="1" applyAlignment="1" applyProtection="1">
      <alignment horizontal="center"/>
      <protection/>
    </xf>
    <xf numFmtId="0" fontId="31" fillId="0" borderId="0" xfId="0" applyFont="1" applyAlignment="1">
      <alignment vertical="top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76" fontId="5" fillId="38" borderId="52" xfId="49" applyNumberFormat="1" applyFont="1" applyFill="1" applyBorder="1" applyAlignment="1" applyProtection="1">
      <alignment horizontal="left"/>
      <protection locked="0"/>
    </xf>
    <xf numFmtId="0" fontId="6" fillId="0" borderId="19" xfId="51" applyFont="1" applyBorder="1" applyAlignment="1" applyProtection="1">
      <alignment horizontal="center" vertical="center"/>
      <protection/>
    </xf>
    <xf numFmtId="4" fontId="6" fillId="0" borderId="19" xfId="51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 textRotation="90"/>
    </xf>
    <xf numFmtId="0" fontId="0" fillId="0" borderId="52" xfId="49" applyNumberFormat="1" applyFont="1" applyFill="1" applyBorder="1" applyAlignment="1" applyProtection="1">
      <alignment horizontal="left" wrapText="1"/>
      <protection/>
    </xf>
    <xf numFmtId="0" fontId="0" fillId="0" borderId="19" xfId="51" applyFont="1" applyFill="1" applyBorder="1" applyAlignment="1" applyProtection="1">
      <alignment horizontal="left" wrapText="1"/>
      <protection/>
    </xf>
    <xf numFmtId="0" fontId="0" fillId="0" borderId="19" xfId="51" applyFont="1" applyFill="1" applyBorder="1" applyAlignment="1" applyProtection="1">
      <alignment horizontal="left"/>
      <protection/>
    </xf>
    <xf numFmtId="0" fontId="13" fillId="36" borderId="19" xfId="51" applyFont="1" applyFill="1" applyBorder="1" applyAlignment="1" applyProtection="1">
      <alignment horizontal="center" vertical="center" wrapText="1"/>
      <protection/>
    </xf>
    <xf numFmtId="0" fontId="15" fillId="0" borderId="0" xfId="51" applyFont="1" applyBorder="1" applyAlignment="1" applyProtection="1">
      <alignment horizontal="left" vertical="center" indent="1"/>
      <protection/>
    </xf>
    <xf numFmtId="0" fontId="0" fillId="0" borderId="0" xfId="51" applyFont="1" applyBorder="1" applyAlignment="1" applyProtection="1">
      <alignment horizontal="center" vertical="center"/>
      <protection/>
    </xf>
    <xf numFmtId="0" fontId="0" fillId="0" borderId="19" xfId="51" applyFont="1" applyBorder="1" applyAlignment="1" applyProtection="1">
      <alignment horizontal="center" vertical="center" wrapText="1"/>
      <protection/>
    </xf>
    <xf numFmtId="177" fontId="0" fillId="0" borderId="53" xfId="51" applyNumberFormat="1" applyFont="1" applyFill="1" applyBorder="1" applyAlignment="1" applyProtection="1">
      <alignment horizontal="left"/>
      <protection/>
    </xf>
    <xf numFmtId="178" fontId="0" fillId="0" borderId="53" xfId="51" applyNumberFormat="1" applyFont="1" applyFill="1" applyBorder="1" applyAlignment="1" applyProtection="1">
      <alignment horizontal="left"/>
      <protection/>
    </xf>
    <xf numFmtId="0" fontId="2" fillId="0" borderId="0" xfId="51" applyFont="1" applyBorder="1" applyAlignment="1" applyProtection="1">
      <alignment horizontal="left" vertical="center"/>
      <protection/>
    </xf>
    <xf numFmtId="0" fontId="6" fillId="0" borderId="0" xfId="51" applyFont="1" applyBorder="1" applyAlignment="1" applyProtection="1">
      <alignment horizontal="left" vertical="center"/>
      <protection/>
    </xf>
    <xf numFmtId="0" fontId="0" fillId="0" borderId="20" xfId="51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" vertical="top"/>
      <protection/>
    </xf>
    <xf numFmtId="0" fontId="0" fillId="0" borderId="19" xfId="51" applyFont="1" applyBorder="1" applyAlignment="1" applyProtection="1">
      <alignment horizontal="left" vertical="center" wrapText="1"/>
      <protection/>
    </xf>
    <xf numFmtId="0" fontId="2" fillId="0" borderId="19" xfId="51" applyFont="1" applyFill="1" applyBorder="1" applyAlignment="1" applyProtection="1">
      <alignment horizontal="center" vertical="center"/>
      <protection/>
    </xf>
    <xf numFmtId="4" fontId="6" fillId="0" borderId="19" xfId="51" applyNumberFormat="1" applyFont="1" applyFill="1" applyBorder="1" applyAlignment="1" applyProtection="1">
      <alignment horizontal="center" vertical="center"/>
      <protection/>
    </xf>
    <xf numFmtId="49" fontId="0" fillId="35" borderId="19" xfId="51" applyNumberFormat="1" applyFont="1" applyFill="1" applyBorder="1" applyAlignment="1" applyProtection="1">
      <alignment horizontal="left" vertical="top" wrapText="1"/>
      <protection locked="0"/>
    </xf>
    <xf numFmtId="0" fontId="0" fillId="0" borderId="54" xfId="51" applyFont="1" applyFill="1" applyBorder="1" applyAlignment="1" applyProtection="1">
      <alignment horizontal="left" vertical="top" wrapText="1"/>
      <protection/>
    </xf>
    <xf numFmtId="0" fontId="0" fillId="0" borderId="53" xfId="51" applyFont="1" applyFill="1" applyBorder="1" applyAlignment="1" applyProtection="1">
      <alignment horizontal="left" vertical="top" wrapText="1"/>
      <protection/>
    </xf>
    <xf numFmtId="0" fontId="0" fillId="0" borderId="55" xfId="51" applyFont="1" applyFill="1" applyBorder="1" applyAlignment="1" applyProtection="1">
      <alignment horizontal="left" vertical="top" wrapText="1"/>
      <protection/>
    </xf>
    <xf numFmtId="0" fontId="3" fillId="0" borderId="19" xfId="51" applyFont="1" applyBorder="1" applyAlignment="1" applyProtection="1">
      <alignment horizontal="center"/>
      <protection/>
    </xf>
    <xf numFmtId="0" fontId="22" fillId="34" borderId="56" xfId="0" applyFont="1" applyFill="1" applyBorder="1" applyAlignment="1">
      <alignment horizontal="center" vertical="center" wrapText="1"/>
    </xf>
    <xf numFmtId="0" fontId="28" fillId="34" borderId="57" xfId="0" applyFont="1" applyFill="1" applyBorder="1" applyAlignment="1">
      <alignment horizontal="center" vertical="top" wrapText="1"/>
    </xf>
    <xf numFmtId="0" fontId="28" fillId="34" borderId="43" xfId="0" applyFont="1" applyFill="1" applyBorder="1" applyAlignment="1">
      <alignment horizontal="center" vertical="top" wrapText="1"/>
    </xf>
    <xf numFmtId="0" fontId="22" fillId="34" borderId="23" xfId="0" applyFont="1" applyFill="1" applyBorder="1" applyAlignment="1">
      <alignment horizontal="center"/>
    </xf>
    <xf numFmtId="0" fontId="22" fillId="34" borderId="24" xfId="0" applyFont="1" applyFill="1" applyBorder="1" applyAlignment="1">
      <alignment horizontal="center"/>
    </xf>
    <xf numFmtId="0" fontId="22" fillId="34" borderId="25" xfId="0" applyFont="1" applyFill="1" applyBorder="1" applyAlignment="1">
      <alignment horizontal="center"/>
    </xf>
    <xf numFmtId="0" fontId="22" fillId="34" borderId="58" xfId="0" applyFont="1" applyFill="1" applyBorder="1" applyAlignment="1">
      <alignment horizontal="center" vertical="center"/>
    </xf>
    <xf numFmtId="0" fontId="22" fillId="34" borderId="59" xfId="0" applyFont="1" applyFill="1" applyBorder="1" applyAlignment="1">
      <alignment horizontal="center" vertical="center"/>
    </xf>
    <xf numFmtId="0" fontId="22" fillId="34" borderId="60" xfId="0" applyFont="1" applyFill="1" applyBorder="1" applyAlignment="1">
      <alignment horizontal="center" vertical="center"/>
    </xf>
    <xf numFmtId="0" fontId="22" fillId="34" borderId="61" xfId="0" applyFont="1" applyFill="1" applyBorder="1" applyAlignment="1">
      <alignment horizontal="left" vertical="center"/>
    </xf>
    <xf numFmtId="0" fontId="22" fillId="34" borderId="62" xfId="0" applyFont="1" applyFill="1" applyBorder="1" applyAlignment="1">
      <alignment horizontal="left" vertical="center"/>
    </xf>
    <xf numFmtId="0" fontId="22" fillId="34" borderId="63" xfId="0" applyFont="1" applyFill="1" applyBorder="1" applyAlignment="1">
      <alignment horizontal="left" vertical="center"/>
    </xf>
    <xf numFmtId="0" fontId="22" fillId="34" borderId="41" xfId="0" applyFont="1" applyFill="1" applyBorder="1" applyAlignment="1">
      <alignment horizontal="left" vertical="center"/>
    </xf>
    <xf numFmtId="0" fontId="22" fillId="34" borderId="42" xfId="0" applyFont="1" applyFill="1" applyBorder="1" applyAlignment="1">
      <alignment horizontal="left" vertical="center"/>
    </xf>
    <xf numFmtId="0" fontId="22" fillId="34" borderId="39" xfId="0" applyFont="1" applyFill="1" applyBorder="1" applyAlignment="1">
      <alignment horizontal="left" vertical="center" wrapText="1"/>
    </xf>
    <xf numFmtId="0" fontId="22" fillId="34" borderId="35" xfId="0" applyFont="1" applyFill="1" applyBorder="1" applyAlignment="1">
      <alignment horizontal="left" vertical="center" wrapText="1"/>
    </xf>
    <xf numFmtId="0" fontId="22" fillId="34" borderId="64" xfId="0" applyFont="1" applyFill="1" applyBorder="1" applyAlignment="1">
      <alignment horizontal="left" vertical="center" wrapText="1"/>
    </xf>
    <xf numFmtId="0" fontId="22" fillId="34" borderId="35" xfId="0" applyFont="1" applyFill="1" applyBorder="1" applyAlignment="1">
      <alignment horizontal="left" vertical="center"/>
    </xf>
    <xf numFmtId="0" fontId="22" fillId="34" borderId="65" xfId="0" applyFont="1" applyFill="1" applyBorder="1" applyAlignment="1">
      <alignment horizontal="left" vertical="center"/>
    </xf>
    <xf numFmtId="0" fontId="22" fillId="34" borderId="66" xfId="0" applyFont="1" applyFill="1" applyBorder="1" applyAlignment="1">
      <alignment horizontal="left" vertical="center"/>
    </xf>
    <xf numFmtId="0" fontId="22" fillId="34" borderId="10" xfId="0" applyFont="1" applyFill="1" applyBorder="1" applyAlignment="1">
      <alignment horizontal="center" vertical="center" wrapText="1"/>
    </xf>
    <xf numFmtId="0" fontId="28" fillId="34" borderId="67" xfId="0" applyFont="1" applyFill="1" applyBorder="1" applyAlignment="1">
      <alignment vertical="top" wrapText="1"/>
    </xf>
    <xf numFmtId="0" fontId="28" fillId="34" borderId="68" xfId="0" applyFont="1" applyFill="1" applyBorder="1" applyAlignment="1">
      <alignment vertical="top" wrapText="1"/>
    </xf>
    <xf numFmtId="0" fontId="22" fillId="34" borderId="38" xfId="0" applyFont="1" applyFill="1" applyBorder="1" applyAlignment="1">
      <alignment horizontal="center" vertical="center" wrapText="1"/>
    </xf>
    <xf numFmtId="0" fontId="22" fillId="34" borderId="34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69" xfId="0" applyFont="1" applyFill="1" applyBorder="1" applyAlignment="1">
      <alignment horizontal="center" vertical="center" wrapText="1"/>
    </xf>
    <xf numFmtId="0" fontId="22" fillId="34" borderId="32" xfId="0" applyFont="1" applyFill="1" applyBorder="1" applyAlignment="1">
      <alignment horizontal="center" vertical="center" wrapText="1"/>
    </xf>
    <xf numFmtId="0" fontId="22" fillId="34" borderId="7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_Composicao BDI v2.1" xfId="49"/>
    <cellStyle name="Neutra" xfId="50"/>
    <cellStyle name="Normal 2" xfId="51"/>
    <cellStyle name="Normal_FICHA DE VERIFICAÇÃO PRELIMINAR - Plano R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dxfs count="7">
    <dxf>
      <font>
        <b/>
        <i val="0"/>
      </font>
    </dxf>
    <dxf>
      <font>
        <b val="0"/>
        <color indexed="17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lor indexed="1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b/>
        <i val="0"/>
        <color rgb="FFFFFFFF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b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008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E6" /><Relationship Id="rId2" Type="http://schemas.openxmlformats.org/officeDocument/2006/relationships/hyperlink" Target="#OR&#199;AMENTO!M13" /><Relationship Id="rId3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47625</xdr:rowOff>
    </xdr:from>
    <xdr:to>
      <xdr:col>2</xdr:col>
      <xdr:colOff>4048125</xdr:colOff>
      <xdr:row>1</xdr:row>
      <xdr:rowOff>114300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981200" y="47625"/>
          <a:ext cx="3495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 Esportes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Planejamento, Gestão e Finanças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Prestação de Contas</a:t>
          </a:r>
        </a:p>
      </xdr:txBody>
    </xdr:sp>
    <xdr:clientData/>
  </xdr:twoCellAnchor>
  <xdr:twoCellAnchor>
    <xdr:from>
      <xdr:col>0</xdr:col>
      <xdr:colOff>47625</xdr:colOff>
      <xdr:row>50</xdr:row>
      <xdr:rowOff>104775</xdr:rowOff>
    </xdr:from>
    <xdr:to>
      <xdr:col>8</xdr:col>
      <xdr:colOff>1152525</xdr:colOff>
      <xdr:row>54</xdr:row>
      <xdr:rowOff>76200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12906375"/>
          <a:ext cx="116490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  - SETOP - MG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Internet: www.transportes.mg.gov.br / E-mail: dpc@transportes.mg.gov.br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Fone Geral: (31) 3239-0999 - Fax: (31) 3239-0899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  <xdr:twoCellAnchor>
    <xdr:from>
      <xdr:col>0</xdr:col>
      <xdr:colOff>76200</xdr:colOff>
      <xdr:row>50</xdr:row>
      <xdr:rowOff>38100</xdr:rowOff>
    </xdr:from>
    <xdr:to>
      <xdr:col>8</xdr:col>
      <xdr:colOff>1152525</xdr:colOff>
      <xdr:row>50</xdr:row>
      <xdr:rowOff>38100</xdr:rowOff>
    </xdr:to>
    <xdr:sp>
      <xdr:nvSpPr>
        <xdr:cNvPr id="3" name="Line 8"/>
        <xdr:cNvSpPr>
          <a:spLocks/>
        </xdr:cNvSpPr>
      </xdr:nvSpPr>
      <xdr:spPr>
        <a:xfrm>
          <a:off x="76200" y="12839700"/>
          <a:ext cx="1162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19050</xdr:rowOff>
    </xdr:from>
    <xdr:to>
      <xdr:col>1</xdr:col>
      <xdr:colOff>133350</xdr:colOff>
      <xdr:row>6</xdr:row>
      <xdr:rowOff>9525</xdr:rowOff>
    </xdr:to>
    <xdr:sp>
      <xdr:nvSpPr>
        <xdr:cNvPr id="1" name="AutoShape 67">
          <a:hlinkClick r:id="rId1"/>
        </xdr:cNvPr>
        <xdr:cNvSpPr>
          <a:spLocks/>
        </xdr:cNvSpPr>
      </xdr:nvSpPr>
      <xdr:spPr>
        <a:xfrm>
          <a:off x="276225" y="247650"/>
          <a:ext cx="466725" cy="1762125"/>
        </a:xfrm>
        <a:prstGeom prst="roundRect">
          <a:avLst/>
        </a:prstGeom>
        <a:solidFill>
          <a:srgbClr val="99CCFF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360" tIns="27360" rIns="27360" bIns="273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MENU</a:t>
          </a:r>
        </a:p>
      </xdr:txBody>
    </xdr:sp>
    <xdr:clientData/>
  </xdr:twoCellAnchor>
  <xdr:twoCellAnchor>
    <xdr:from>
      <xdr:col>0</xdr:col>
      <xdr:colOff>276225</xdr:colOff>
      <xdr:row>6</xdr:row>
      <xdr:rowOff>57150</xdr:rowOff>
    </xdr:from>
    <xdr:to>
      <xdr:col>1</xdr:col>
      <xdr:colOff>133350</xdr:colOff>
      <xdr:row>8</xdr:row>
      <xdr:rowOff>38100</xdr:rowOff>
    </xdr:to>
    <xdr:sp>
      <xdr:nvSpPr>
        <xdr:cNvPr id="2" name="AutoShape 67">
          <a:hlinkClick r:id="rId2"/>
        </xdr:cNvPr>
        <xdr:cNvSpPr>
          <a:spLocks/>
        </xdr:cNvSpPr>
      </xdr:nvSpPr>
      <xdr:spPr>
        <a:xfrm>
          <a:off x="276225" y="2057400"/>
          <a:ext cx="466725" cy="304800"/>
        </a:xfrm>
        <a:prstGeom prst="roundRect">
          <a:avLst/>
        </a:prstGeom>
        <a:solidFill>
          <a:srgbClr val="99CCFF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360" tIns="27360" rIns="27360" bIns="273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→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923925</xdr:colOff>
      <xdr:row>2</xdr:row>
      <xdr:rowOff>819150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390525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0</xdr:rowOff>
    </xdr:from>
    <xdr:to>
      <xdr:col>6</xdr:col>
      <xdr:colOff>0</xdr:colOff>
      <xdr:row>0</xdr:row>
      <xdr:rowOff>638175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228725" y="0"/>
          <a:ext cx="77724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Secretaria de Estado de Turismo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Superintendência de Estruturas Turísticas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Diretoria de Infraestrutura</a:t>
          </a:r>
        </a:p>
      </xdr:txBody>
    </xdr:sp>
    <xdr:clientData/>
  </xdr:twoCellAnchor>
  <xdr:twoCellAnchor>
    <xdr:from>
      <xdr:col>0</xdr:col>
      <xdr:colOff>47625</xdr:colOff>
      <xdr:row>40</xdr:row>
      <xdr:rowOff>47625</xdr:rowOff>
    </xdr:from>
    <xdr:to>
      <xdr:col>9</xdr:col>
      <xdr:colOff>0</xdr:colOff>
      <xdr:row>41</xdr:row>
      <xdr:rowOff>133350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9191625"/>
          <a:ext cx="13325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(Adaptação da planilha disponibilizado pela Secretaria de Estado de Transportes e Obras Públicas  - SETOP/MG)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59\Compartilhados\Pavimenta&#231;&#227;o%202017\Pavimenta&#231;&#227;o%20%20CAIXA%20Bairro%20Alvorada\pavimenta&#231;&#227;o\PLANILHA%20M&#218;LTIPLA%202%20(Reparado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citacao\Downloads\PLANILHA%20M&#218;LTIPLA%20V3.0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al"/>
      <sheetName val="Novo!"/>
      <sheetName val="Dados"/>
      <sheetName val="BDI"/>
      <sheetName val="Orçamento"/>
      <sheetName val="Memória"/>
      <sheetName val="Comp"/>
      <sheetName val="Cot"/>
      <sheetName val="CronoFF"/>
      <sheetName val="QCI"/>
      <sheetName val="Memorial Descritivo"/>
      <sheetName val="Licitação"/>
      <sheetName val="CronoFF-L"/>
      <sheetName val="QCI-L"/>
      <sheetName val="BM"/>
      <sheetName val="RRE"/>
      <sheetName val="OFÍCIO"/>
      <sheetName val="CC"/>
    </sheetNames>
    <sheetDataSet>
      <sheetData sheetId="2">
        <row r="6">
          <cell r="G6" t="str">
            <v>Prefeitura Municipal de Pains</v>
          </cell>
        </row>
        <row r="7">
          <cell r="G7" t="str">
            <v>Pains- MG</v>
          </cell>
        </row>
        <row r="8">
          <cell r="G8" t="str">
            <v>9005447-00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  <sheetName val="Relatório de Compatibilidade"/>
      <sheetName val="PLANILHA MÚLTIPLA V3.0.1"/>
    </sheetNames>
    <sheetDataSet>
      <sheetData sheetId="1">
        <row r="8">
          <cell r="F8" t="str">
            <v>104813/2017</v>
          </cell>
        </row>
        <row r="16">
          <cell r="F16" t="str">
            <v>Pavimentação </v>
          </cell>
        </row>
        <row r="17">
          <cell r="F17" t="str">
            <v>Pavimentação de Via Urabans no Municipio de Pains-MG</v>
          </cell>
        </row>
        <row r="22">
          <cell r="F22" t="str">
            <v>ÁLLAN FELIPE DA SILVA PEREIRA</v>
          </cell>
        </row>
        <row r="23">
          <cell r="F23" t="str">
            <v>201.236</v>
          </cell>
        </row>
        <row r="24">
          <cell r="F24" t="str">
            <v>4343985</v>
          </cell>
        </row>
      </sheetData>
      <sheetData sheetId="3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31">
      <selection activeCell="G37" sqref="G37"/>
    </sheetView>
  </sheetViews>
  <sheetFormatPr defaultColWidth="9.140625" defaultRowHeight="12.75"/>
  <cols>
    <col min="1" max="1" width="8.28125" style="91" customWidth="1"/>
    <col min="2" max="2" width="13.140625" style="0" customWidth="1"/>
    <col min="3" max="3" width="62.8515625" style="0" customWidth="1"/>
    <col min="4" max="4" width="12.7109375" style="0" customWidth="1"/>
    <col min="5" max="5" width="12.421875" style="0" customWidth="1"/>
    <col min="6" max="6" width="16.140625" style="0" customWidth="1"/>
    <col min="7" max="8" width="16.28125" style="59" customWidth="1"/>
    <col min="9" max="9" width="17.7109375" style="0" customWidth="1"/>
  </cols>
  <sheetData>
    <row r="1" spans="2:9" ht="57" customHeight="1">
      <c r="B1" s="4"/>
      <c r="C1" s="5"/>
      <c r="D1" s="179"/>
      <c r="E1" s="179"/>
      <c r="F1" s="179"/>
      <c r="G1" s="58"/>
      <c r="H1" s="58"/>
      <c r="I1" s="4"/>
    </row>
    <row r="2" spans="1:9" ht="15.75">
      <c r="A2" s="184" t="s">
        <v>7</v>
      </c>
      <c r="B2" s="184"/>
      <c r="C2" s="184"/>
      <c r="D2" s="184"/>
      <c r="E2" s="184"/>
      <c r="F2" s="184"/>
      <c r="G2" s="184"/>
      <c r="H2" s="184"/>
      <c r="I2" s="184"/>
    </row>
    <row r="3" ht="4.5" customHeight="1"/>
    <row r="4" spans="1:9" ht="19.5" customHeight="1">
      <c r="A4" s="190" t="s">
        <v>5</v>
      </c>
      <c r="B4" s="191"/>
      <c r="C4" s="191"/>
      <c r="D4" s="191"/>
      <c r="E4" s="191"/>
      <c r="F4" s="191"/>
      <c r="G4" s="192"/>
      <c r="H4" s="60" t="s">
        <v>91</v>
      </c>
      <c r="I4" s="2" t="s">
        <v>6</v>
      </c>
    </row>
    <row r="5" spans="1:9" ht="19.5" customHeight="1">
      <c r="A5" s="185" t="s">
        <v>197</v>
      </c>
      <c r="B5" s="185"/>
      <c r="C5" s="185"/>
      <c r="D5" s="185"/>
      <c r="E5" s="185"/>
      <c r="F5" s="185"/>
      <c r="G5" s="185"/>
      <c r="H5" s="157">
        <v>0.2644</v>
      </c>
      <c r="I5" s="158" t="s">
        <v>92</v>
      </c>
    </row>
    <row r="6" spans="1:9" ht="19.5" customHeight="1">
      <c r="A6" s="185" t="s">
        <v>192</v>
      </c>
      <c r="B6" s="185"/>
      <c r="C6" s="186"/>
      <c r="D6" s="131" t="s">
        <v>193</v>
      </c>
      <c r="E6" s="132"/>
      <c r="F6" s="132"/>
      <c r="G6" s="132"/>
      <c r="H6" s="1" t="s">
        <v>198</v>
      </c>
      <c r="I6" s="160">
        <v>43374</v>
      </c>
    </row>
    <row r="7" spans="1:9" ht="32.25" customHeight="1">
      <c r="A7" s="1" t="s">
        <v>0</v>
      </c>
      <c r="B7" s="1" t="s">
        <v>25</v>
      </c>
      <c r="C7" s="1" t="s">
        <v>1</v>
      </c>
      <c r="D7" s="1" t="s">
        <v>2</v>
      </c>
      <c r="E7" s="1" t="s">
        <v>3</v>
      </c>
      <c r="F7" s="33" t="s">
        <v>89</v>
      </c>
      <c r="G7" s="61" t="s">
        <v>204</v>
      </c>
      <c r="H7" s="159" t="s">
        <v>191</v>
      </c>
      <c r="I7" s="159" t="s">
        <v>205</v>
      </c>
    </row>
    <row r="8" spans="1:9" ht="19.5" customHeight="1">
      <c r="A8" s="90">
        <v>1</v>
      </c>
      <c r="B8" s="16"/>
      <c r="C8" s="12" t="s">
        <v>26</v>
      </c>
      <c r="D8" s="13"/>
      <c r="E8" s="14"/>
      <c r="F8" s="11"/>
      <c r="G8" s="51"/>
      <c r="H8" s="54">
        <f>ROUND(SUM(H10),2)</f>
        <v>1083.52</v>
      </c>
      <c r="I8" s="54">
        <f>ROUND(SUM(I10),2)</f>
        <v>1370</v>
      </c>
    </row>
    <row r="9" spans="1:9" ht="19.5" customHeight="1">
      <c r="A9" s="129" t="s">
        <v>154</v>
      </c>
      <c r="B9" s="17" t="s">
        <v>27</v>
      </c>
      <c r="C9" s="18" t="s">
        <v>28</v>
      </c>
      <c r="D9" s="23">
        <f>38.3*25.8</f>
        <v>988.14</v>
      </c>
      <c r="E9" s="19" t="s">
        <v>12</v>
      </c>
      <c r="F9" s="187" t="s">
        <v>153</v>
      </c>
      <c r="G9" s="188"/>
      <c r="H9" s="188"/>
      <c r="I9" s="189"/>
    </row>
    <row r="10" spans="1:9" ht="27.75" customHeight="1">
      <c r="A10" s="129" t="s">
        <v>155</v>
      </c>
      <c r="B10" s="20" t="s">
        <v>29</v>
      </c>
      <c r="C10" s="21" t="s">
        <v>30</v>
      </c>
      <c r="D10" s="23">
        <v>1</v>
      </c>
      <c r="E10" s="19" t="s">
        <v>31</v>
      </c>
      <c r="F10" s="50">
        <v>1083.52</v>
      </c>
      <c r="G10" s="50">
        <f>ROUND(F10*(1+$H$5),2)</f>
        <v>1370</v>
      </c>
      <c r="H10" s="50">
        <f>ROUND(F10*D10,2)</f>
        <v>1083.52</v>
      </c>
      <c r="I10" s="50">
        <f>ROUND(G10*D10,2)</f>
        <v>1370</v>
      </c>
    </row>
    <row r="11" spans="1:9" ht="19.5" customHeight="1">
      <c r="A11" s="90">
        <v>2</v>
      </c>
      <c r="B11" s="16"/>
      <c r="C11" s="12" t="s">
        <v>14</v>
      </c>
      <c r="D11" s="22"/>
      <c r="E11" s="14"/>
      <c r="F11" s="51"/>
      <c r="G11" s="51"/>
      <c r="H11" s="55">
        <f>ROUND(SUM(H12),2)</f>
        <v>5848.87</v>
      </c>
      <c r="I11" s="55">
        <f>ROUND(SUM(I12),2)</f>
        <v>7395.33</v>
      </c>
    </row>
    <row r="12" spans="1:9" ht="19.5" customHeight="1">
      <c r="A12" s="49" t="s">
        <v>156</v>
      </c>
      <c r="B12" s="17" t="s">
        <v>32</v>
      </c>
      <c r="C12" s="18" t="s">
        <v>33</v>
      </c>
      <c r="D12" s="23">
        <f>ROUND(36.3*23.8,2)</f>
        <v>863.94</v>
      </c>
      <c r="E12" s="8" t="s">
        <v>12</v>
      </c>
      <c r="F12" s="52">
        <v>6.77</v>
      </c>
      <c r="G12" s="50">
        <f>ROUND(F12*(1+$H$5),2)</f>
        <v>8.56</v>
      </c>
      <c r="H12" s="50">
        <f>ROUND(F12*D12,2)</f>
        <v>5848.87</v>
      </c>
      <c r="I12" s="50">
        <f>ROUND(G12*D12,2)</f>
        <v>7395.33</v>
      </c>
    </row>
    <row r="13" spans="1:9" ht="19.5" customHeight="1">
      <c r="A13" s="90">
        <v>3</v>
      </c>
      <c r="B13" s="11"/>
      <c r="C13" s="12" t="s">
        <v>19</v>
      </c>
      <c r="D13" s="13"/>
      <c r="E13" s="14"/>
      <c r="F13" s="51"/>
      <c r="G13" s="51"/>
      <c r="H13" s="55">
        <f>ROUND(SUM(H14:H15),2)</f>
        <v>671.76</v>
      </c>
      <c r="I13" s="55">
        <f>ROUND(SUM(I14:I15),2)</f>
        <v>849.49</v>
      </c>
    </row>
    <row r="14" spans="1:9" ht="19.5" customHeight="1">
      <c r="A14" s="129" t="s">
        <v>157</v>
      </c>
      <c r="B14" s="17" t="s">
        <v>50</v>
      </c>
      <c r="C14" s="21" t="s">
        <v>51</v>
      </c>
      <c r="D14" s="9">
        <f>ROUND((36.3+23.8)*2*0.2*0.3,2)</f>
        <v>7.21</v>
      </c>
      <c r="E14" s="8" t="s">
        <v>13</v>
      </c>
      <c r="F14" s="52">
        <v>43.79</v>
      </c>
      <c r="G14" s="50">
        <f>ROUND(F14*(1+$H$5),2)</f>
        <v>55.37</v>
      </c>
      <c r="H14" s="50">
        <f>ROUND(F14*D14,2)</f>
        <v>315.73</v>
      </c>
      <c r="I14" s="50">
        <f>ROUND(G14*D14,2)</f>
        <v>399.22</v>
      </c>
    </row>
    <row r="15" spans="1:9" ht="19.5" customHeight="1">
      <c r="A15" s="129" t="s">
        <v>157</v>
      </c>
      <c r="B15" s="17" t="s">
        <v>66</v>
      </c>
      <c r="C15" s="18" t="s">
        <v>67</v>
      </c>
      <c r="D15" s="9">
        <f>ROUND((36.3+23.8)*2*0.2,2)</f>
        <v>24.04</v>
      </c>
      <c r="E15" s="8" t="s">
        <v>12</v>
      </c>
      <c r="F15" s="52">
        <v>14.81</v>
      </c>
      <c r="G15" s="50">
        <f>ROUND(F15*(1+$H$5),2)</f>
        <v>18.73</v>
      </c>
      <c r="H15" s="50">
        <f>ROUND(F15*D15,2)</f>
        <v>356.03</v>
      </c>
      <c r="I15" s="50">
        <f>ROUND(G15*D15,2)</f>
        <v>450.27</v>
      </c>
    </row>
    <row r="16" spans="1:9" ht="19.5" customHeight="1">
      <c r="A16" s="90">
        <v>4</v>
      </c>
      <c r="B16" s="11"/>
      <c r="C16" s="12" t="s">
        <v>17</v>
      </c>
      <c r="D16" s="13"/>
      <c r="E16" s="15"/>
      <c r="F16" s="51"/>
      <c r="G16" s="51"/>
      <c r="H16" s="55">
        <f>ROUND(SUM(H17:H19),2)</f>
        <v>63614.61</v>
      </c>
      <c r="I16" s="55">
        <f>ROUND(SUM(I17:I19),2)</f>
        <v>80429.72</v>
      </c>
    </row>
    <row r="17" spans="1:9" ht="19.5" customHeight="1">
      <c r="A17" s="128" t="s">
        <v>158</v>
      </c>
      <c r="B17" s="17" t="s">
        <v>34</v>
      </c>
      <c r="C17" s="21" t="s">
        <v>35</v>
      </c>
      <c r="D17" s="23">
        <f>ROUND(36*23.5*0.05,2)</f>
        <v>42.3</v>
      </c>
      <c r="E17" s="10" t="s">
        <v>13</v>
      </c>
      <c r="F17" s="52">
        <v>87</v>
      </c>
      <c r="G17" s="50">
        <f>ROUND(F17*(1+$H$5),2)</f>
        <v>110</v>
      </c>
      <c r="H17" s="50">
        <f>ROUND(F17*D17,2)</f>
        <v>3680.1</v>
      </c>
      <c r="I17" s="50">
        <f>ROUND(G17*D17,2)</f>
        <v>4653</v>
      </c>
    </row>
    <row r="18" spans="1:11" ht="26.25" customHeight="1">
      <c r="A18" s="128" t="s">
        <v>159</v>
      </c>
      <c r="B18" s="17" t="s">
        <v>189</v>
      </c>
      <c r="C18" s="180" t="s">
        <v>190</v>
      </c>
      <c r="D18" s="23">
        <f>404.6+399.3</f>
        <v>803.9000000000001</v>
      </c>
      <c r="E18" s="30" t="s">
        <v>88</v>
      </c>
      <c r="F18" s="52">
        <v>0.31</v>
      </c>
      <c r="G18" s="50">
        <f>ROUND(F18*(1+$H$5),2)</f>
        <v>0.39</v>
      </c>
      <c r="H18" s="50">
        <f>ROUND(F18*D18,2)</f>
        <v>249.21</v>
      </c>
      <c r="I18" s="50">
        <f>ROUND(G18*D18,2)</f>
        <v>313.52</v>
      </c>
      <c r="K18" s="127">
        <f>17*23.8</f>
        <v>404.6</v>
      </c>
    </row>
    <row r="19" spans="1:11" ht="27.75" customHeight="1">
      <c r="A19" s="128" t="s">
        <v>160</v>
      </c>
      <c r="B19" s="17" t="s">
        <v>36</v>
      </c>
      <c r="C19" s="24" t="s">
        <v>37</v>
      </c>
      <c r="D19" s="23">
        <f>ROUND(36*23.5,2)</f>
        <v>846</v>
      </c>
      <c r="E19" s="10" t="s">
        <v>12</v>
      </c>
      <c r="F19" s="52">
        <v>70.55</v>
      </c>
      <c r="G19" s="50">
        <f>ROUND(F19*(1+$H$5),2)</f>
        <v>89.2</v>
      </c>
      <c r="H19" s="50">
        <f>ROUND(F19*D19,2)</f>
        <v>59685.3</v>
      </c>
      <c r="I19" s="50">
        <f>ROUND(G19*D19,2)</f>
        <v>75463.2</v>
      </c>
      <c r="K19" s="127">
        <f>11*36.3</f>
        <v>399.29999999999995</v>
      </c>
    </row>
    <row r="20" spans="1:9" ht="19.5" customHeight="1">
      <c r="A20" s="90">
        <v>5</v>
      </c>
      <c r="B20" s="11"/>
      <c r="C20" s="12" t="s">
        <v>15</v>
      </c>
      <c r="D20" s="13"/>
      <c r="E20" s="15"/>
      <c r="F20" s="51"/>
      <c r="G20" s="51"/>
      <c r="H20" s="55">
        <f>ROUND(SUM(H21:H23),2)</f>
        <v>8430.13</v>
      </c>
      <c r="I20" s="55">
        <f>ROUND(SUM(I21:I23),2)</f>
        <v>10659.07</v>
      </c>
    </row>
    <row r="21" spans="1:9" ht="27.75" customHeight="1">
      <c r="A21" s="129" t="s">
        <v>161</v>
      </c>
      <c r="B21" s="17" t="s">
        <v>52</v>
      </c>
      <c r="C21" s="21" t="s">
        <v>53</v>
      </c>
      <c r="D21" s="9">
        <f>ROUND((36.3+23.8)*2*0.4,2)</f>
        <v>48.08</v>
      </c>
      <c r="E21" s="10" t="s">
        <v>12</v>
      </c>
      <c r="F21" s="52">
        <v>73.45</v>
      </c>
      <c r="G21" s="50">
        <f>ROUND(F21*(1+$H$5),2)</f>
        <v>92.87</v>
      </c>
      <c r="H21" s="50">
        <f>ROUND(F21*D21,2)</f>
        <v>3531.48</v>
      </c>
      <c r="I21" s="50">
        <f>ROUND(G21*D21,2)</f>
        <v>4465.19</v>
      </c>
    </row>
    <row r="22" spans="1:9" ht="27.75" customHeight="1">
      <c r="A22" s="129" t="s">
        <v>162</v>
      </c>
      <c r="B22" s="17" t="s">
        <v>54</v>
      </c>
      <c r="C22" s="21" t="s">
        <v>55</v>
      </c>
      <c r="D22" s="9">
        <f>ROUND(0.4*0.8*50,2)</f>
        <v>16</v>
      </c>
      <c r="E22" s="10" t="s">
        <v>13</v>
      </c>
      <c r="F22" s="52">
        <v>113.08</v>
      </c>
      <c r="G22" s="50">
        <f>ROUND(F22*(1+$H$5),2)</f>
        <v>142.98</v>
      </c>
      <c r="H22" s="50">
        <f>ROUND(F22*D22,2)</f>
        <v>1809.28</v>
      </c>
      <c r="I22" s="50">
        <f>ROUND(G22*D22,2)</f>
        <v>2287.68</v>
      </c>
    </row>
    <row r="23" spans="1:9" ht="19.5" customHeight="1">
      <c r="A23" s="129" t="s">
        <v>163</v>
      </c>
      <c r="B23" s="17" t="s">
        <v>56</v>
      </c>
      <c r="C23" s="21" t="s">
        <v>57</v>
      </c>
      <c r="D23" s="9">
        <f>ROUND(96.16-16,2)</f>
        <v>80.16</v>
      </c>
      <c r="E23" s="10" t="s">
        <v>12</v>
      </c>
      <c r="F23" s="52">
        <v>38.54</v>
      </c>
      <c r="G23" s="50">
        <f>ROUND(F23*(1+$H$5),2)</f>
        <v>48.73</v>
      </c>
      <c r="H23" s="50">
        <f>ROUND(F23*D23,2)</f>
        <v>3089.37</v>
      </c>
      <c r="I23" s="52">
        <f>ROUND(G23*D23,2)</f>
        <v>3906.2</v>
      </c>
    </row>
    <row r="24" spans="1:9" ht="19.5" customHeight="1">
      <c r="A24" s="90">
        <v>6</v>
      </c>
      <c r="B24" s="11"/>
      <c r="C24" s="12" t="s">
        <v>16</v>
      </c>
      <c r="D24" s="13"/>
      <c r="E24" s="15"/>
      <c r="F24" s="11"/>
      <c r="G24" s="51"/>
      <c r="H24" s="55">
        <f>ROUND(SUM(H25:H26),2)</f>
        <v>5119.58</v>
      </c>
      <c r="I24" s="55">
        <f>ROUND(SUM(I25:I26),2)</f>
        <v>6474.34</v>
      </c>
    </row>
    <row r="25" spans="1:9" ht="19.5" customHeight="1">
      <c r="A25" s="129" t="s">
        <v>164</v>
      </c>
      <c r="B25" s="17" t="s">
        <v>58</v>
      </c>
      <c r="C25" s="21" t="s">
        <v>59</v>
      </c>
      <c r="D25" s="9">
        <v>209.39</v>
      </c>
      <c r="E25" s="8" t="s">
        <v>12</v>
      </c>
      <c r="F25" s="52">
        <v>5.44</v>
      </c>
      <c r="G25" s="50">
        <f>ROUND(F25*(1+$H$5),2)</f>
        <v>6.88</v>
      </c>
      <c r="H25" s="50">
        <f>ROUND(F25*D25,2)</f>
        <v>1139.08</v>
      </c>
      <c r="I25" s="52">
        <f>ROUND(G25*D25,2)</f>
        <v>1440.6</v>
      </c>
    </row>
    <row r="26" spans="1:9" ht="19.5" customHeight="1">
      <c r="A26" s="129" t="s">
        <v>165</v>
      </c>
      <c r="B26" s="17" t="s">
        <v>60</v>
      </c>
      <c r="C26" s="21" t="s">
        <v>61</v>
      </c>
      <c r="D26" s="9">
        <f>D25</f>
        <v>209.39</v>
      </c>
      <c r="E26" s="8" t="s">
        <v>12</v>
      </c>
      <c r="F26" s="52">
        <v>19.01</v>
      </c>
      <c r="G26" s="50">
        <f>ROUND(F26*(1+$H$5),2)</f>
        <v>24.04</v>
      </c>
      <c r="H26" s="50">
        <f>ROUND(F26*D26,2)</f>
        <v>3980.5</v>
      </c>
      <c r="I26" s="52">
        <f>ROUND(G26*D26,2)</f>
        <v>5033.74</v>
      </c>
    </row>
    <row r="27" spans="1:9" ht="19.5" customHeight="1">
      <c r="A27" s="90">
        <v>7</v>
      </c>
      <c r="B27" s="11"/>
      <c r="C27" s="12" t="s">
        <v>18</v>
      </c>
      <c r="D27" s="13"/>
      <c r="E27" s="15"/>
      <c r="F27" s="51"/>
      <c r="G27" s="51"/>
      <c r="H27" s="55">
        <f>ROUND(SUM(H28:H30),2)</f>
        <v>6780.72</v>
      </c>
      <c r="I27" s="55">
        <f>ROUND(SUM(I28:I30),2)</f>
        <v>8573.03</v>
      </c>
    </row>
    <row r="28" spans="1:9" ht="19.5" customHeight="1">
      <c r="A28" s="129" t="s">
        <v>166</v>
      </c>
      <c r="B28" s="17" t="s">
        <v>64</v>
      </c>
      <c r="C28" s="21" t="s">
        <v>65</v>
      </c>
      <c r="D28" s="9">
        <f>D26</f>
        <v>209.39</v>
      </c>
      <c r="E28" s="8" t="s">
        <v>12</v>
      </c>
      <c r="F28" s="52">
        <v>7.56</v>
      </c>
      <c r="G28" s="50">
        <f>ROUND(F28*(1+$H$5),2)</f>
        <v>9.56</v>
      </c>
      <c r="H28" s="50">
        <f>ROUND(F28*D28,2)</f>
        <v>1582.99</v>
      </c>
      <c r="I28" s="52">
        <f>ROUND(G28*D28,2)</f>
        <v>2001.77</v>
      </c>
    </row>
    <row r="29" spans="1:9" ht="19.5" customHeight="1">
      <c r="A29" s="128" t="s">
        <v>167</v>
      </c>
      <c r="B29" s="17" t="s">
        <v>38</v>
      </c>
      <c r="C29" s="21" t="s">
        <v>39</v>
      </c>
      <c r="D29" s="23">
        <f>ROUND(20*32,2)</f>
        <v>640</v>
      </c>
      <c r="E29" s="8" t="s">
        <v>12</v>
      </c>
      <c r="F29" s="56">
        <v>6.82</v>
      </c>
      <c r="G29" s="50">
        <f>ROUND(F29*(1+$H$5),2)</f>
        <v>8.62</v>
      </c>
      <c r="H29" s="50">
        <f>ROUND(F29*D29,2)</f>
        <v>4364.8</v>
      </c>
      <c r="I29" s="52">
        <f>ROUND(G29*D29,2)</f>
        <v>5516.8</v>
      </c>
    </row>
    <row r="30" spans="1:9" ht="19.5" customHeight="1">
      <c r="A30" s="128" t="s">
        <v>168</v>
      </c>
      <c r="B30" s="25" t="s">
        <v>40</v>
      </c>
      <c r="C30" s="21" t="s">
        <v>41</v>
      </c>
      <c r="D30" s="23">
        <v>443.05</v>
      </c>
      <c r="E30" s="26" t="s">
        <v>88</v>
      </c>
      <c r="F30" s="52">
        <v>1.88</v>
      </c>
      <c r="G30" s="50">
        <f>ROUND(F30*(1+$H$5),2)</f>
        <v>2.38</v>
      </c>
      <c r="H30" s="50">
        <f>ROUND(F30*D30,2)</f>
        <v>832.93</v>
      </c>
      <c r="I30" s="52">
        <f>ROUND(G30*D30,2)</f>
        <v>1054.46</v>
      </c>
    </row>
    <row r="31" spans="1:9" ht="19.5" customHeight="1">
      <c r="A31" s="90">
        <v>8</v>
      </c>
      <c r="B31" s="11"/>
      <c r="C31" s="12" t="s">
        <v>21</v>
      </c>
      <c r="D31" s="13"/>
      <c r="E31" s="15"/>
      <c r="F31" s="51"/>
      <c r="G31" s="51"/>
      <c r="H31" s="55">
        <f>ROUND(SUM(H32:H33),2)</f>
        <v>23415.01</v>
      </c>
      <c r="I31" s="55">
        <f>ROUND(SUM(I32:I33),2)</f>
        <v>29050.19</v>
      </c>
    </row>
    <row r="32" spans="1:9" ht="37.5" customHeight="1">
      <c r="A32" s="129" t="s">
        <v>169</v>
      </c>
      <c r="B32" s="17" t="s">
        <v>62</v>
      </c>
      <c r="C32" s="21" t="s">
        <v>63</v>
      </c>
      <c r="D32" s="182">
        <f>95.2+70.2</f>
        <v>165.4</v>
      </c>
      <c r="E32" s="183" t="s">
        <v>12</v>
      </c>
      <c r="F32" s="57">
        <v>128.85</v>
      </c>
      <c r="G32" s="50">
        <f>ROUND(F32*(1+$H$5),2)</f>
        <v>162.92</v>
      </c>
      <c r="H32" s="50">
        <f>ROUND(F32*D32,2)</f>
        <v>21311.79</v>
      </c>
      <c r="I32" s="52">
        <f>ROUND(G32*D32,2)</f>
        <v>26946.97</v>
      </c>
    </row>
    <row r="33" spans="1:9" ht="19.5" customHeight="1">
      <c r="A33" s="129" t="s">
        <v>170</v>
      </c>
      <c r="B33" s="17" t="s">
        <v>68</v>
      </c>
      <c r="C33" s="18" t="s">
        <v>69</v>
      </c>
      <c r="D33" s="9">
        <f>ROUND(2*1.2*2,2)</f>
        <v>4.8</v>
      </c>
      <c r="E33" s="30" t="s">
        <v>12</v>
      </c>
      <c r="F33" s="57">
        <v>346.54</v>
      </c>
      <c r="G33" s="50">
        <f>ROUND(F33*(1+$H$5),2)</f>
        <v>438.17</v>
      </c>
      <c r="H33" s="50">
        <f>ROUND(G33*D33,2)</f>
        <v>2103.22</v>
      </c>
      <c r="I33" s="52">
        <f>ROUND(G33*D33,2)</f>
        <v>2103.22</v>
      </c>
    </row>
    <row r="34" spans="1:9" ht="19.5" customHeight="1">
      <c r="A34" s="90">
        <v>9</v>
      </c>
      <c r="B34" s="11"/>
      <c r="C34" s="12" t="s">
        <v>22</v>
      </c>
      <c r="D34" s="13"/>
      <c r="E34" s="15"/>
      <c r="F34" s="51"/>
      <c r="G34" s="51"/>
      <c r="H34" s="55">
        <f>ROUND(SUM(H35:H37),2)</f>
        <v>4376.12</v>
      </c>
      <c r="I34" s="55">
        <f>ROUND(SUM(I35:I37),2)</f>
        <v>5533.16</v>
      </c>
    </row>
    <row r="35" spans="1:9" ht="19.5" customHeight="1">
      <c r="A35" s="128" t="s">
        <v>171</v>
      </c>
      <c r="B35" s="17" t="s">
        <v>42</v>
      </c>
      <c r="C35" s="21" t="s">
        <v>43</v>
      </c>
      <c r="D35" s="28">
        <v>2</v>
      </c>
      <c r="E35" s="26" t="s">
        <v>23</v>
      </c>
      <c r="F35" s="52">
        <v>611.25</v>
      </c>
      <c r="G35" s="50">
        <f>ROUND(F35*(1+$H$5),2)</f>
        <v>772.86</v>
      </c>
      <c r="H35" s="50">
        <f>ROUND(F35*D35,2)</f>
        <v>1222.5</v>
      </c>
      <c r="I35" s="52">
        <f>ROUND(G35*D35,2)</f>
        <v>1545.72</v>
      </c>
    </row>
    <row r="36" spans="1:9" ht="19.5" customHeight="1">
      <c r="A36" s="128" t="s">
        <v>172</v>
      </c>
      <c r="B36" s="17" t="s">
        <v>44</v>
      </c>
      <c r="C36" s="21" t="s">
        <v>45</v>
      </c>
      <c r="D36" s="28">
        <v>1</v>
      </c>
      <c r="E36" s="26" t="s">
        <v>24</v>
      </c>
      <c r="F36" s="52">
        <v>495</v>
      </c>
      <c r="G36" s="50">
        <f>ROUND(F36*(1+$H$5),2)</f>
        <v>625.88</v>
      </c>
      <c r="H36" s="50">
        <f>ROUND(F36*D36,2)</f>
        <v>495</v>
      </c>
      <c r="I36" s="52">
        <f>ROUND(G36*D36,2)</f>
        <v>625.88</v>
      </c>
    </row>
    <row r="37" spans="1:9" ht="19.5" customHeight="1">
      <c r="A37" s="128" t="s">
        <v>173</v>
      </c>
      <c r="B37" s="17" t="s">
        <v>46</v>
      </c>
      <c r="C37" s="21" t="s">
        <v>47</v>
      </c>
      <c r="D37" s="29">
        <v>2</v>
      </c>
      <c r="E37" s="27" t="s">
        <v>23</v>
      </c>
      <c r="F37" s="52">
        <v>1329.31</v>
      </c>
      <c r="G37" s="50">
        <f>ROUND(F37*(1+$H$5),2)</f>
        <v>1680.78</v>
      </c>
      <c r="H37" s="50">
        <f>ROUND(F37*D37,2)</f>
        <v>2658.62</v>
      </c>
      <c r="I37" s="52">
        <f>ROUND(G37*D37,2)</f>
        <v>3361.56</v>
      </c>
    </row>
    <row r="38" spans="1:9" ht="19.5" customHeight="1">
      <c r="A38" s="90">
        <v>10</v>
      </c>
      <c r="B38" s="11"/>
      <c r="C38" s="12" t="s">
        <v>20</v>
      </c>
      <c r="D38" s="13"/>
      <c r="E38" s="15"/>
      <c r="F38" s="51"/>
      <c r="G38" s="51"/>
      <c r="H38" s="55">
        <f>ROUND(SUM(H39),2)</f>
        <v>3775.42</v>
      </c>
      <c r="I38" s="55">
        <f>ROUND(SUM(I39),2)</f>
        <v>4777.59</v>
      </c>
    </row>
    <row r="39" spans="1:9" ht="19.5" customHeight="1">
      <c r="A39" s="130" t="s">
        <v>174</v>
      </c>
      <c r="B39" s="17" t="s">
        <v>48</v>
      </c>
      <c r="C39" s="18" t="s">
        <v>49</v>
      </c>
      <c r="D39" s="23">
        <v>863.94</v>
      </c>
      <c r="E39" s="10" t="s">
        <v>12</v>
      </c>
      <c r="F39" s="52">
        <v>4.37</v>
      </c>
      <c r="G39" s="50">
        <f>ROUND(F39*(1+$H$5),2)</f>
        <v>5.53</v>
      </c>
      <c r="H39" s="50">
        <f>ROUND(F39*D39,2)</f>
        <v>3775.42</v>
      </c>
      <c r="I39" s="52">
        <f>ROUND(G39*D39,2)</f>
        <v>4777.59</v>
      </c>
    </row>
    <row r="40" spans="1:9" ht="19.5" customHeight="1">
      <c r="A40" s="1"/>
      <c r="B40" s="3"/>
      <c r="C40" s="3"/>
      <c r="D40" s="3"/>
      <c r="E40" s="3"/>
      <c r="F40" s="3"/>
      <c r="G40" s="52"/>
      <c r="H40" s="50"/>
      <c r="I40" s="3"/>
    </row>
    <row r="41" spans="1:9" ht="19.5" customHeight="1">
      <c r="A41" s="90"/>
      <c r="B41" s="11"/>
      <c r="C41" s="89" t="s">
        <v>4</v>
      </c>
      <c r="D41" s="11"/>
      <c r="E41" s="11"/>
      <c r="F41" s="11"/>
      <c r="G41" s="51"/>
      <c r="H41" s="55">
        <f>ROUND(SUM(H38+H34+H31+H27+H24+H20+H16+H13+H11+H8),2)</f>
        <v>123115.74</v>
      </c>
      <c r="I41" s="55">
        <f>ROUND(SUM(I38+I34+I31+I27+I24+I20+I16+I13+I11+I8),2)</f>
        <v>155111.92</v>
      </c>
    </row>
    <row r="42" ht="14.25" customHeight="1"/>
    <row r="43" ht="14.25" customHeight="1"/>
    <row r="44" ht="14.25" customHeight="1"/>
    <row r="45" spans="4:8" ht="12.75">
      <c r="D45" s="92" t="s">
        <v>10</v>
      </c>
      <c r="H45" s="133" t="s">
        <v>8</v>
      </c>
    </row>
    <row r="48" spans="2:4" ht="12.75">
      <c r="B48" s="6"/>
      <c r="D48" s="93" t="s">
        <v>11</v>
      </c>
    </row>
    <row r="49" spans="2:3" ht="12.75">
      <c r="B49" s="7"/>
      <c r="C49" s="92" t="s">
        <v>9</v>
      </c>
    </row>
    <row r="50" spans="1:9" ht="12.75">
      <c r="A50" s="134"/>
      <c r="B50" s="135"/>
      <c r="C50" s="135"/>
      <c r="D50" s="135"/>
      <c r="E50" s="135"/>
      <c r="F50" s="135"/>
      <c r="G50" s="136"/>
      <c r="H50" s="136"/>
      <c r="I50" s="135"/>
    </row>
    <row r="53" ht="27" customHeight="1"/>
  </sheetData>
  <sheetProtection/>
  <mergeCells count="5">
    <mergeCell ref="A2:I2"/>
    <mergeCell ref="A6:C6"/>
    <mergeCell ref="F9:I9"/>
    <mergeCell ref="A4:G4"/>
    <mergeCell ref="A5:G5"/>
  </mergeCells>
  <printOptions/>
  <pageMargins left="0.3937007874015748" right="0.1968503937007874" top="0.3937007874015748" bottom="0.3937007874015748" header="0" footer="0"/>
  <pageSetup horizontalDpi="600" verticalDpi="600" orientation="landscape" paperSize="9" scale="82" r:id="rId4"/>
  <drawing r:id="rId3"/>
  <legacyDrawing r:id="rId2"/>
  <oleObjects>
    <oleObject progId="Word.Picture.8" shapeId="205161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25">
      <selection activeCell="B20" sqref="B20"/>
    </sheetView>
  </sheetViews>
  <sheetFormatPr defaultColWidth="9.140625" defaultRowHeight="12.75"/>
  <cols>
    <col min="1" max="1" width="7.7109375" style="0" customWidth="1"/>
    <col min="2" max="2" width="50.7109375" style="0" customWidth="1"/>
    <col min="3" max="3" width="57.7109375" style="0" customWidth="1"/>
    <col min="4" max="4" width="8.7109375" style="0" customWidth="1"/>
    <col min="5" max="5" width="6.7109375" style="0" customWidth="1"/>
  </cols>
  <sheetData>
    <row r="1" spans="1:5" ht="12.75">
      <c r="A1" s="193" t="s">
        <v>70</v>
      </c>
      <c r="B1" s="194"/>
      <c r="C1" s="194"/>
      <c r="D1" s="194"/>
      <c r="E1" s="194"/>
    </row>
    <row r="2" spans="1:4" ht="12.75">
      <c r="A2" s="31"/>
      <c r="B2" s="32"/>
      <c r="C2" s="31"/>
      <c r="D2" s="31"/>
    </row>
    <row r="3" spans="1:5" ht="12.75">
      <c r="A3" s="1" t="s">
        <v>0</v>
      </c>
      <c r="B3" s="33" t="s">
        <v>1</v>
      </c>
      <c r="C3" s="1" t="s">
        <v>71</v>
      </c>
      <c r="D3" s="191" t="s">
        <v>4</v>
      </c>
      <c r="E3" s="192"/>
    </row>
    <row r="4" spans="1:5" ht="15.75">
      <c r="A4" s="90">
        <v>1</v>
      </c>
      <c r="B4" s="12" t="s">
        <v>26</v>
      </c>
      <c r="C4" s="13"/>
      <c r="D4" s="137"/>
      <c r="E4" s="34"/>
    </row>
    <row r="5" spans="1:5" ht="12.75">
      <c r="A5" s="128" t="s">
        <v>154</v>
      </c>
      <c r="B5" s="21" t="s">
        <v>28</v>
      </c>
      <c r="C5" s="35" t="s">
        <v>72</v>
      </c>
      <c r="D5" s="138">
        <f>38.3*25.8</f>
        <v>988.14</v>
      </c>
      <c r="E5" s="36" t="s">
        <v>12</v>
      </c>
    </row>
    <row r="6" spans="1:5" ht="36">
      <c r="A6" s="128" t="s">
        <v>155</v>
      </c>
      <c r="B6" s="21" t="s">
        <v>30</v>
      </c>
      <c r="C6" s="35">
        <v>1</v>
      </c>
      <c r="D6" s="138">
        <v>1</v>
      </c>
      <c r="E6" s="36" t="s">
        <v>90</v>
      </c>
    </row>
    <row r="7" spans="1:5" ht="15">
      <c r="A7" s="90">
        <v>2</v>
      </c>
      <c r="B7" s="12" t="s">
        <v>14</v>
      </c>
      <c r="C7" s="37"/>
      <c r="D7" s="139"/>
      <c r="E7" s="38"/>
    </row>
    <row r="8" spans="1:5" ht="12.75">
      <c r="A8" s="128" t="s">
        <v>156</v>
      </c>
      <c r="B8" s="21" t="s">
        <v>33</v>
      </c>
      <c r="C8" s="35" t="s">
        <v>74</v>
      </c>
      <c r="D8" s="140">
        <f>36.3*23.8</f>
        <v>863.9399999999999</v>
      </c>
      <c r="E8" s="39" t="s">
        <v>12</v>
      </c>
    </row>
    <row r="9" spans="1:5" ht="15.75">
      <c r="A9" s="90">
        <v>3</v>
      </c>
      <c r="B9" s="12" t="s">
        <v>19</v>
      </c>
      <c r="C9" s="40"/>
      <c r="D9" s="139"/>
      <c r="E9" s="38"/>
    </row>
    <row r="10" spans="1:5" ht="12.75">
      <c r="A10" s="128" t="s">
        <v>157</v>
      </c>
      <c r="B10" s="21" t="s">
        <v>51</v>
      </c>
      <c r="C10" s="41" t="s">
        <v>75</v>
      </c>
      <c r="D10" s="140">
        <f>(36.3+23.8)*2*0.2*0.3</f>
        <v>7.212</v>
      </c>
      <c r="E10" s="39" t="s">
        <v>13</v>
      </c>
    </row>
    <row r="11" spans="1:5" ht="12.75">
      <c r="A11" s="128" t="s">
        <v>157</v>
      </c>
      <c r="B11" s="21" t="s">
        <v>67</v>
      </c>
      <c r="C11" s="41" t="s">
        <v>76</v>
      </c>
      <c r="D11" s="140">
        <f>(36.3+23.8)*2*0.2</f>
        <v>24.04</v>
      </c>
      <c r="E11" s="39" t="s">
        <v>12</v>
      </c>
    </row>
    <row r="12" spans="1:5" ht="15.75">
      <c r="A12" s="90">
        <v>4</v>
      </c>
      <c r="B12" s="12" t="s">
        <v>17</v>
      </c>
      <c r="C12" s="40"/>
      <c r="D12" s="139"/>
      <c r="E12" s="38"/>
    </row>
    <row r="13" spans="1:5" ht="12.75">
      <c r="A13" s="128" t="s">
        <v>158</v>
      </c>
      <c r="B13" s="21" t="s">
        <v>35</v>
      </c>
      <c r="C13" s="35" t="s">
        <v>77</v>
      </c>
      <c r="D13" s="140">
        <f>36*23.5*0.05</f>
        <v>42.300000000000004</v>
      </c>
      <c r="E13" s="39" t="s">
        <v>13</v>
      </c>
    </row>
    <row r="14" spans="1:5" ht="28.5" customHeight="1">
      <c r="A14" s="128" t="s">
        <v>159</v>
      </c>
      <c r="B14" s="21" t="s">
        <v>190</v>
      </c>
      <c r="C14" s="42" t="s">
        <v>194</v>
      </c>
      <c r="D14" s="140">
        <f>(11*36.3+17*23.8)</f>
        <v>803.9</v>
      </c>
      <c r="E14" s="39" t="s">
        <v>88</v>
      </c>
    </row>
    <row r="15" spans="1:5" ht="36" customHeight="1">
      <c r="A15" s="128" t="s">
        <v>160</v>
      </c>
      <c r="B15" s="24" t="s">
        <v>37</v>
      </c>
      <c r="C15" s="42" t="s">
        <v>78</v>
      </c>
      <c r="D15" s="140">
        <v>846</v>
      </c>
      <c r="E15" s="39" t="s">
        <v>12</v>
      </c>
    </row>
    <row r="16" spans="1:5" ht="15.75">
      <c r="A16" s="90">
        <v>5</v>
      </c>
      <c r="B16" s="12" t="s">
        <v>15</v>
      </c>
      <c r="C16" s="40"/>
      <c r="D16" s="139"/>
      <c r="E16" s="38"/>
    </row>
    <row r="17" spans="1:5" ht="24">
      <c r="A17" s="128" t="s">
        <v>161</v>
      </c>
      <c r="B17" s="21" t="s">
        <v>53</v>
      </c>
      <c r="C17" s="43" t="s">
        <v>79</v>
      </c>
      <c r="D17" s="140">
        <f>(36.3+23.8)*2*0.4</f>
        <v>48.08</v>
      </c>
      <c r="E17" s="39" t="s">
        <v>12</v>
      </c>
    </row>
    <row r="18" spans="1:5" ht="24">
      <c r="A18" s="128" t="s">
        <v>162</v>
      </c>
      <c r="B18" s="21" t="s">
        <v>55</v>
      </c>
      <c r="C18" s="43" t="s">
        <v>80</v>
      </c>
      <c r="D18" s="140">
        <f>0.2*0.8*50</f>
        <v>8.000000000000002</v>
      </c>
      <c r="E18" s="39" t="s">
        <v>12</v>
      </c>
    </row>
    <row r="19" spans="1:5" ht="24">
      <c r="A19" s="128" t="s">
        <v>163</v>
      </c>
      <c r="B19" s="21" t="s">
        <v>57</v>
      </c>
      <c r="C19" s="43" t="s">
        <v>81</v>
      </c>
      <c r="D19" s="140">
        <f>((36.3+23.8)*2*0.8)-8</f>
        <v>88.16</v>
      </c>
      <c r="E19" s="39" t="s">
        <v>12</v>
      </c>
    </row>
    <row r="20" spans="1:5" ht="15.75">
      <c r="A20" s="90">
        <v>6</v>
      </c>
      <c r="B20" s="12" t="s">
        <v>16</v>
      </c>
      <c r="C20" s="40"/>
      <c r="D20" s="139"/>
      <c r="E20" s="38"/>
    </row>
    <row r="21" spans="1:5" ht="12.75">
      <c r="A21" s="128" t="s">
        <v>164</v>
      </c>
      <c r="B21" s="21" t="s">
        <v>59</v>
      </c>
      <c r="C21" s="41" t="s">
        <v>82</v>
      </c>
      <c r="D21" s="141">
        <f>((36+23.5+36+23.5)*0.8)+((36.3+23.8+36.3+23.8)*0.95)</f>
        <v>209.39</v>
      </c>
      <c r="E21" s="39" t="s">
        <v>12</v>
      </c>
    </row>
    <row r="22" spans="1:5" ht="12.75">
      <c r="A22" s="128" t="s">
        <v>165</v>
      </c>
      <c r="B22" s="21" t="s">
        <v>61</v>
      </c>
      <c r="C22" s="41" t="s">
        <v>82</v>
      </c>
      <c r="D22" s="141">
        <f>((36+23.5+36+23.5)*0.8)+((36.3+23.8+36.3+23.8)*0.95)</f>
        <v>209.39</v>
      </c>
      <c r="E22" s="39" t="s">
        <v>12</v>
      </c>
    </row>
    <row r="23" spans="1:5" ht="15.75">
      <c r="A23" s="90">
        <v>7</v>
      </c>
      <c r="B23" s="12" t="s">
        <v>18</v>
      </c>
      <c r="C23" s="40"/>
      <c r="D23" s="139"/>
      <c r="E23" s="38"/>
    </row>
    <row r="24" spans="1:5" ht="12.75">
      <c r="A24" s="128" t="s">
        <v>166</v>
      </c>
      <c r="B24" s="21" t="s">
        <v>65</v>
      </c>
      <c r="C24" s="41" t="s">
        <v>82</v>
      </c>
      <c r="D24" s="141">
        <f>((36+23.5+36+23.5)*0.8)+((36.3+23.8+36.3+23.8)*0.95)</f>
        <v>209.39</v>
      </c>
      <c r="E24" s="39" t="s">
        <v>12</v>
      </c>
    </row>
    <row r="25" spans="1:5" ht="12.75">
      <c r="A25" s="128" t="s">
        <v>167</v>
      </c>
      <c r="B25" s="21" t="s">
        <v>39</v>
      </c>
      <c r="C25" s="44" t="s">
        <v>83</v>
      </c>
      <c r="D25" s="140">
        <f>32*20</f>
        <v>640</v>
      </c>
      <c r="E25" s="45" t="s">
        <v>12</v>
      </c>
    </row>
    <row r="26" spans="1:5" ht="12.75" customHeight="1">
      <c r="A26" s="196" t="s">
        <v>168</v>
      </c>
      <c r="B26" s="195" t="s">
        <v>41</v>
      </c>
      <c r="C26" s="146" t="s">
        <v>84</v>
      </c>
      <c r="D26" s="142"/>
      <c r="E26" s="46"/>
    </row>
    <row r="27" spans="1:5" ht="12.75">
      <c r="A27" s="196"/>
      <c r="B27" s="195"/>
      <c r="C27" s="147" t="s">
        <v>85</v>
      </c>
      <c r="D27" s="143">
        <f>72+184.5+186.55</f>
        <v>443.05</v>
      </c>
      <c r="E27" s="47" t="s">
        <v>88</v>
      </c>
    </row>
    <row r="28" spans="1:5" ht="12.75">
      <c r="A28" s="196"/>
      <c r="B28" s="195"/>
      <c r="C28" s="146" t="s">
        <v>86</v>
      </c>
      <c r="D28" s="143"/>
      <c r="E28" s="47"/>
    </row>
    <row r="29" spans="1:5" ht="15.75">
      <c r="A29" s="90">
        <v>8</v>
      </c>
      <c r="B29" s="12" t="s">
        <v>21</v>
      </c>
      <c r="C29" s="40"/>
      <c r="D29" s="139"/>
      <c r="E29" s="38"/>
    </row>
    <row r="30" spans="1:5" ht="36">
      <c r="A30" s="128" t="s">
        <v>169</v>
      </c>
      <c r="B30" s="21" t="s">
        <v>63</v>
      </c>
      <c r="C30" s="43" t="s">
        <v>87</v>
      </c>
      <c r="D30" s="144">
        <f>((23.8*2)*2)+((35.1*1)*2)</f>
        <v>165.4</v>
      </c>
      <c r="E30" s="48" t="s">
        <v>12</v>
      </c>
    </row>
    <row r="31" spans="1:5" ht="12.75">
      <c r="A31" s="128" t="s">
        <v>170</v>
      </c>
      <c r="B31" s="21" t="s">
        <v>69</v>
      </c>
      <c r="C31" s="41" t="s">
        <v>196</v>
      </c>
      <c r="D31" s="145">
        <f>2*1.2*2</f>
        <v>4.8</v>
      </c>
      <c r="E31" s="48" t="s">
        <v>12</v>
      </c>
    </row>
    <row r="32" spans="1:5" ht="15.75">
      <c r="A32" s="90">
        <v>9</v>
      </c>
      <c r="B32" s="12" t="s">
        <v>22</v>
      </c>
      <c r="C32" s="40"/>
      <c r="D32" s="139"/>
      <c r="E32" s="38"/>
    </row>
    <row r="33" spans="1:5" ht="12.75">
      <c r="A33" s="128" t="s">
        <v>171</v>
      </c>
      <c r="B33" s="21" t="s">
        <v>43</v>
      </c>
      <c r="C33" s="53">
        <v>1</v>
      </c>
      <c r="D33" s="140">
        <v>1</v>
      </c>
      <c r="E33" s="39" t="s">
        <v>90</v>
      </c>
    </row>
    <row r="34" spans="1:5" ht="24">
      <c r="A34" s="128" t="s">
        <v>172</v>
      </c>
      <c r="B34" s="21" t="s">
        <v>45</v>
      </c>
      <c r="C34" s="53">
        <v>1</v>
      </c>
      <c r="D34" s="140">
        <v>1</v>
      </c>
      <c r="E34" s="39" t="s">
        <v>90</v>
      </c>
    </row>
    <row r="35" spans="1:5" ht="24">
      <c r="A35" s="128" t="s">
        <v>173</v>
      </c>
      <c r="B35" s="21" t="s">
        <v>47</v>
      </c>
      <c r="C35" s="53">
        <v>1</v>
      </c>
      <c r="D35" s="140">
        <v>1</v>
      </c>
      <c r="E35" s="39" t="s">
        <v>90</v>
      </c>
    </row>
    <row r="36" spans="1:5" ht="15.75">
      <c r="A36" s="90">
        <v>10</v>
      </c>
      <c r="B36" s="12" t="s">
        <v>20</v>
      </c>
      <c r="C36" s="40"/>
      <c r="D36" s="139"/>
      <c r="E36" s="38"/>
    </row>
    <row r="37" spans="1:5" ht="12.75">
      <c r="A37" s="17" t="s">
        <v>174</v>
      </c>
      <c r="B37" s="21" t="s">
        <v>49</v>
      </c>
      <c r="C37" s="35" t="s">
        <v>74</v>
      </c>
      <c r="D37" s="140">
        <f>36.3*23.8</f>
        <v>863.9399999999999</v>
      </c>
      <c r="E37" s="39" t="s">
        <v>12</v>
      </c>
    </row>
  </sheetData>
  <sheetProtection/>
  <mergeCells count="4">
    <mergeCell ref="A1:E1"/>
    <mergeCell ref="D3:E3"/>
    <mergeCell ref="B26:B28"/>
    <mergeCell ref="A26:A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72"/>
  <sheetViews>
    <sheetView view="pageBreakPreview" zoomScale="85" zoomScaleSheetLayoutView="85" zoomScalePageLayoutView="0" workbookViewId="0" topLeftCell="A22">
      <selection activeCell="E3" sqref="E3:J3"/>
    </sheetView>
  </sheetViews>
  <sheetFormatPr defaultColWidth="9.140625" defaultRowHeight="12.75"/>
  <cols>
    <col min="3" max="3" width="11.7109375" style="0" customWidth="1"/>
    <col min="4" max="4" width="23.00390625" style="0" customWidth="1"/>
    <col min="5" max="5" width="11.421875" style="0" customWidth="1"/>
    <col min="6" max="6" width="11.00390625" style="0" customWidth="1"/>
    <col min="9" max="9" width="2.421875" style="0" customWidth="1"/>
    <col min="10" max="10" width="9.7109375" style="0" customWidth="1"/>
    <col min="11" max="11" width="10.8515625" style="0" customWidth="1"/>
    <col min="12" max="12" width="10.421875" style="0" bestFit="1" customWidth="1"/>
    <col min="17" max="19" width="9.28125" style="0" bestFit="1" customWidth="1"/>
  </cols>
  <sheetData>
    <row r="1" spans="3:12" ht="18">
      <c r="C1" s="62"/>
      <c r="D1" s="203" t="s">
        <v>137</v>
      </c>
      <c r="E1" s="204"/>
      <c r="F1" s="204"/>
      <c r="G1" s="204"/>
      <c r="H1" s="204"/>
      <c r="I1" s="204"/>
      <c r="J1" s="205"/>
      <c r="K1" s="198" t="s">
        <v>93</v>
      </c>
      <c r="L1" s="198"/>
    </row>
    <row r="2" spans="3:12" ht="12.75">
      <c r="C2" s="62"/>
      <c r="D2" s="62"/>
      <c r="E2" s="62"/>
      <c r="F2" s="62"/>
      <c r="G2" s="62"/>
      <c r="H2" s="62"/>
      <c r="I2" s="62"/>
      <c r="J2" s="62"/>
      <c r="K2" s="199" t="s">
        <v>94</v>
      </c>
      <c r="L2" s="199"/>
    </row>
    <row r="3" spans="3:12" ht="64.5" customHeight="1">
      <c r="C3" s="62"/>
      <c r="D3" s="206"/>
      <c r="E3" s="208" t="s">
        <v>138</v>
      </c>
      <c r="F3" s="208"/>
      <c r="G3" s="208"/>
      <c r="H3" s="208"/>
      <c r="I3" s="208"/>
      <c r="J3" s="208"/>
      <c r="K3" s="62"/>
      <c r="L3" s="62"/>
    </row>
    <row r="4" spans="3:12" ht="35.25" customHeight="1">
      <c r="C4" s="62"/>
      <c r="D4" s="206"/>
      <c r="E4" s="207" t="s">
        <v>206</v>
      </c>
      <c r="F4" s="207"/>
      <c r="G4" s="207"/>
      <c r="H4" s="207"/>
      <c r="I4" s="62"/>
      <c r="J4" s="62"/>
      <c r="K4" s="62"/>
      <c r="L4" s="62"/>
    </row>
    <row r="5" spans="3:12" ht="14.25">
      <c r="C5" s="62"/>
      <c r="D5" s="206"/>
      <c r="E5" s="181"/>
      <c r="F5" s="62"/>
      <c r="G5" s="62"/>
      <c r="H5" s="62"/>
      <c r="I5" s="62"/>
      <c r="J5" s="62"/>
      <c r="K5" s="62"/>
      <c r="L5" s="62"/>
    </row>
    <row r="6" spans="3:12" ht="12.75"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3:12" ht="12.75">
      <c r="C7" s="86" t="s">
        <v>99</v>
      </c>
      <c r="D7" s="88"/>
      <c r="E7" s="88"/>
      <c r="F7" s="88"/>
      <c r="G7" s="88"/>
      <c r="H7" s="88"/>
      <c r="I7" s="88"/>
      <c r="J7" s="88"/>
      <c r="K7" s="88"/>
      <c r="L7" s="87"/>
    </row>
    <row r="8" spans="3:12" ht="12.75" customHeight="1">
      <c r="C8" s="232" t="s">
        <v>138</v>
      </c>
      <c r="D8" s="233"/>
      <c r="E8" s="233"/>
      <c r="F8" s="234"/>
      <c r="G8" s="200"/>
      <c r="H8" s="201"/>
      <c r="I8" s="201"/>
      <c r="J8" s="201"/>
      <c r="K8" s="201"/>
      <c r="L8" s="201"/>
    </row>
    <row r="9" spans="2:12" ht="12.75">
      <c r="B9" s="212" t="s">
        <v>100</v>
      </c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2:12" ht="12.75">
      <c r="B10" s="212"/>
      <c r="C10" s="202" t="s">
        <v>101</v>
      </c>
      <c r="D10" s="202"/>
      <c r="E10" s="202"/>
      <c r="F10" s="202"/>
      <c r="G10" s="202"/>
      <c r="H10" s="202"/>
      <c r="I10" s="202"/>
      <c r="J10" s="202"/>
      <c r="K10" s="202"/>
      <c r="L10" s="202"/>
    </row>
    <row r="11" spans="2:12" ht="12.75">
      <c r="B11" s="212"/>
      <c r="C11" s="213" t="s">
        <v>195</v>
      </c>
      <c r="D11" s="213"/>
      <c r="E11" s="213"/>
      <c r="F11" s="213"/>
      <c r="G11" s="213"/>
      <c r="H11" s="213"/>
      <c r="I11" s="213"/>
      <c r="J11" s="213"/>
      <c r="K11" s="213"/>
      <c r="L11" s="213"/>
    </row>
    <row r="12" spans="2:12" ht="12.75">
      <c r="B12" s="212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2:12" ht="12.75">
      <c r="B13" s="212"/>
      <c r="C13" s="214" t="s">
        <v>102</v>
      </c>
      <c r="D13" s="214"/>
      <c r="E13" s="214"/>
      <c r="F13" s="214"/>
      <c r="G13" s="214"/>
      <c r="H13" s="214"/>
      <c r="I13" s="214"/>
      <c r="J13" s="214"/>
      <c r="K13" s="197">
        <v>0.03</v>
      </c>
      <c r="L13" s="197"/>
    </row>
    <row r="14" spans="2:12" ht="12.75">
      <c r="B14" s="64" t="s">
        <v>103</v>
      </c>
      <c r="C14" s="215" t="s">
        <v>104</v>
      </c>
      <c r="D14" s="215"/>
      <c r="E14" s="215"/>
      <c r="F14" s="215"/>
      <c r="G14" s="215"/>
      <c r="H14" s="215"/>
      <c r="I14" s="215"/>
      <c r="J14" s="215"/>
      <c r="K14" s="197">
        <v>1</v>
      </c>
      <c r="L14" s="197"/>
    </row>
    <row r="15" spans="2:12" ht="12.75">
      <c r="B15" t="s">
        <v>105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2:12" ht="12.75">
      <c r="B16" t="s">
        <v>105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2:12" ht="15.75">
      <c r="B17" t="s">
        <v>105</v>
      </c>
      <c r="C17" s="235" t="s">
        <v>106</v>
      </c>
      <c r="D17" s="235"/>
      <c r="E17" s="235"/>
      <c r="F17" s="235"/>
      <c r="G17" s="235"/>
      <c r="H17" s="235"/>
      <c r="I17" s="235"/>
      <c r="J17" s="235"/>
      <c r="K17" s="235"/>
      <c r="L17" s="235"/>
    </row>
    <row r="18" spans="2:12" ht="12.75">
      <c r="B18" t="s">
        <v>105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2:12" ht="12.75">
      <c r="B19" t="s">
        <v>105</v>
      </c>
      <c r="C19" s="202" t="s">
        <v>107</v>
      </c>
      <c r="D19" s="202"/>
      <c r="E19" s="202"/>
      <c r="F19" s="202"/>
      <c r="G19" s="202"/>
      <c r="H19" s="202"/>
      <c r="I19" s="202"/>
      <c r="J19" s="202"/>
      <c r="K19" s="202"/>
      <c r="L19" s="202"/>
    </row>
    <row r="20" spans="2:12" ht="12.75">
      <c r="B20" t="s">
        <v>105</v>
      </c>
      <c r="C20" s="209" t="s">
        <v>108</v>
      </c>
      <c r="D20" s="209"/>
      <c r="E20" s="209"/>
      <c r="F20" s="209"/>
      <c r="G20" s="209"/>
      <c r="H20" s="209"/>
      <c r="I20" s="209"/>
      <c r="J20" s="209"/>
      <c r="K20" s="209"/>
      <c r="L20" s="209"/>
    </row>
    <row r="21" spans="2:12" ht="12.75">
      <c r="B21" t="s">
        <v>105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2:19" ht="12.75">
      <c r="B22" t="s">
        <v>105</v>
      </c>
      <c r="C22" s="210" t="s">
        <v>109</v>
      </c>
      <c r="D22" s="210"/>
      <c r="E22" s="210"/>
      <c r="F22" s="210"/>
      <c r="G22" s="210"/>
      <c r="H22" s="210"/>
      <c r="I22" s="210"/>
      <c r="J22" s="210"/>
      <c r="K22" s="210" t="s">
        <v>110</v>
      </c>
      <c r="L22" s="211" t="s">
        <v>111</v>
      </c>
      <c r="N22" s="211" t="s">
        <v>133</v>
      </c>
      <c r="O22" s="211"/>
      <c r="P22" s="211"/>
      <c r="Q22" s="229" t="s">
        <v>134</v>
      </c>
      <c r="R22" s="229" t="s">
        <v>135</v>
      </c>
      <c r="S22" s="229" t="s">
        <v>136</v>
      </c>
    </row>
    <row r="23" spans="2:19" ht="23.25" customHeight="1">
      <c r="B23" t="s">
        <v>105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1"/>
      <c r="N23" s="211"/>
      <c r="O23" s="211"/>
      <c r="P23" s="211"/>
      <c r="Q23" s="229"/>
      <c r="R23" s="229"/>
      <c r="S23" s="229"/>
    </row>
    <row r="24" spans="2:19" ht="15">
      <c r="B24" t="s">
        <v>105</v>
      </c>
      <c r="C24" s="219" t="s">
        <v>139</v>
      </c>
      <c r="D24" s="219"/>
      <c r="E24" s="219"/>
      <c r="F24" s="219"/>
      <c r="G24" s="219"/>
      <c r="H24" s="219"/>
      <c r="I24" s="219"/>
      <c r="J24" s="219"/>
      <c r="K24" s="66" t="s">
        <v>95</v>
      </c>
      <c r="L24" s="67">
        <v>0.0346</v>
      </c>
      <c r="N24" s="230" t="s">
        <v>73</v>
      </c>
      <c r="O24" s="230"/>
      <c r="P24" s="230"/>
      <c r="Q24" s="68">
        <v>0.03</v>
      </c>
      <c r="R24" s="68">
        <v>0.04</v>
      </c>
      <c r="S24" s="68">
        <v>0.055</v>
      </c>
    </row>
    <row r="25" spans="2:19" ht="15">
      <c r="B25" t="s">
        <v>105</v>
      </c>
      <c r="C25" s="219" t="s">
        <v>140</v>
      </c>
      <c r="D25" s="219"/>
      <c r="E25" s="219"/>
      <c r="F25" s="219"/>
      <c r="G25" s="219"/>
      <c r="H25" s="219"/>
      <c r="I25" s="219"/>
      <c r="J25" s="219"/>
      <c r="K25" s="66" t="s">
        <v>141</v>
      </c>
      <c r="L25" s="67">
        <v>0.0032</v>
      </c>
      <c r="N25" s="230" t="s">
        <v>73</v>
      </c>
      <c r="O25" s="230"/>
      <c r="P25" s="230"/>
      <c r="Q25" s="68">
        <v>0.008</v>
      </c>
      <c r="R25" s="68">
        <v>0.008</v>
      </c>
      <c r="S25" s="68">
        <v>0.01</v>
      </c>
    </row>
    <row r="26" spans="2:19" ht="15">
      <c r="B26" t="s">
        <v>105</v>
      </c>
      <c r="C26" s="219" t="s">
        <v>142</v>
      </c>
      <c r="D26" s="219"/>
      <c r="E26" s="219"/>
      <c r="F26" s="219"/>
      <c r="G26" s="219"/>
      <c r="H26" s="219"/>
      <c r="I26" s="219"/>
      <c r="J26" s="219"/>
      <c r="K26" s="66" t="s">
        <v>96</v>
      </c>
      <c r="L26" s="67">
        <v>0.005</v>
      </c>
      <c r="N26" s="230" t="s">
        <v>73</v>
      </c>
      <c r="O26" s="230"/>
      <c r="P26" s="230"/>
      <c r="Q26" s="68">
        <v>0.0097</v>
      </c>
      <c r="R26" s="68">
        <v>0.0127</v>
      </c>
      <c r="S26" s="68">
        <v>0.0127</v>
      </c>
    </row>
    <row r="27" spans="2:19" ht="15">
      <c r="B27" t="s">
        <v>105</v>
      </c>
      <c r="C27" s="219" t="s">
        <v>143</v>
      </c>
      <c r="D27" s="219"/>
      <c r="E27" s="219"/>
      <c r="F27" s="219"/>
      <c r="G27" s="219"/>
      <c r="H27" s="219"/>
      <c r="I27" s="219"/>
      <c r="J27" s="219"/>
      <c r="K27" s="66" t="s">
        <v>97</v>
      </c>
      <c r="L27" s="67">
        <v>0.0102</v>
      </c>
      <c r="N27" s="230" t="s">
        <v>73</v>
      </c>
      <c r="O27" s="230"/>
      <c r="P27" s="230"/>
      <c r="Q27" s="68">
        <v>0.0059</v>
      </c>
      <c r="R27" s="68">
        <v>0.0123</v>
      </c>
      <c r="S27" s="68">
        <v>0.0139</v>
      </c>
    </row>
    <row r="28" spans="2:19" ht="15">
      <c r="B28" t="s">
        <v>105</v>
      </c>
      <c r="C28" s="219" t="s">
        <v>144</v>
      </c>
      <c r="D28" s="219"/>
      <c r="E28" s="219"/>
      <c r="F28" s="219"/>
      <c r="G28" s="219"/>
      <c r="H28" s="219"/>
      <c r="I28" s="219"/>
      <c r="J28" s="219"/>
      <c r="K28" s="66" t="s">
        <v>98</v>
      </c>
      <c r="L28" s="67">
        <v>0.0664</v>
      </c>
      <c r="N28" s="230" t="s">
        <v>73</v>
      </c>
      <c r="O28" s="230"/>
      <c r="P28" s="230"/>
      <c r="Q28" s="68">
        <v>0.0616</v>
      </c>
      <c r="R28" s="68">
        <v>0.07400000000000001</v>
      </c>
      <c r="S28" s="68">
        <v>0.08960000000000001</v>
      </c>
    </row>
    <row r="29" spans="2:19" ht="15">
      <c r="B29" t="s">
        <v>105</v>
      </c>
      <c r="C29" s="219" t="s">
        <v>112</v>
      </c>
      <c r="D29" s="219"/>
      <c r="E29" s="219"/>
      <c r="F29" s="219"/>
      <c r="G29" s="219"/>
      <c r="H29" s="219"/>
      <c r="I29" s="219"/>
      <c r="J29" s="219"/>
      <c r="K29" s="66" t="s">
        <v>113</v>
      </c>
      <c r="L29" s="67">
        <v>0.0365</v>
      </c>
      <c r="N29" s="230" t="s">
        <v>73</v>
      </c>
      <c r="O29" s="230"/>
      <c r="P29" s="230"/>
      <c r="Q29" s="68">
        <v>0.0365</v>
      </c>
      <c r="R29" s="68">
        <v>0.0365</v>
      </c>
      <c r="S29" s="68">
        <v>0.0365</v>
      </c>
    </row>
    <row r="30" spans="2:19" ht="15">
      <c r="B30" t="s">
        <v>105</v>
      </c>
      <c r="C30" s="219" t="s">
        <v>114</v>
      </c>
      <c r="D30" s="219"/>
      <c r="E30" s="219"/>
      <c r="F30" s="219"/>
      <c r="G30" s="219"/>
      <c r="H30" s="219"/>
      <c r="I30" s="219"/>
      <c r="J30" s="219"/>
      <c r="K30" s="66" t="s">
        <v>115</v>
      </c>
      <c r="L30" s="68">
        <v>0.03</v>
      </c>
      <c r="N30" s="230" t="s">
        <v>73</v>
      </c>
      <c r="O30" s="230"/>
      <c r="P30" s="230"/>
      <c r="Q30" s="68">
        <v>0</v>
      </c>
      <c r="R30" s="68">
        <v>0.025</v>
      </c>
      <c r="S30" s="68">
        <v>0.05</v>
      </c>
    </row>
    <row r="31" spans="2:19" ht="34.5" customHeight="1">
      <c r="B31" t="s">
        <v>105</v>
      </c>
      <c r="C31" s="219" t="s">
        <v>116</v>
      </c>
      <c r="D31" s="219"/>
      <c r="E31" s="219"/>
      <c r="F31" s="219"/>
      <c r="G31" s="219"/>
      <c r="H31" s="219"/>
      <c r="I31" s="219"/>
      <c r="J31" s="219"/>
      <c r="K31" s="66" t="s">
        <v>117</v>
      </c>
      <c r="L31" s="68">
        <v>0.045</v>
      </c>
      <c r="N31" s="230" t="s">
        <v>73</v>
      </c>
      <c r="O31" s="230"/>
      <c r="P31" s="230"/>
      <c r="Q31" s="84">
        <v>0</v>
      </c>
      <c r="R31" s="84">
        <v>0.045</v>
      </c>
      <c r="S31" s="84">
        <v>0.045</v>
      </c>
    </row>
    <row r="32" spans="2:19" ht="15">
      <c r="B32" t="s">
        <v>105</v>
      </c>
      <c r="C32" s="219" t="s">
        <v>118</v>
      </c>
      <c r="D32" s="219"/>
      <c r="E32" s="219"/>
      <c r="F32" s="219"/>
      <c r="G32" s="219"/>
      <c r="H32" s="219"/>
      <c r="I32" s="219"/>
      <c r="J32" s="219"/>
      <c r="K32" s="69" t="s">
        <v>119</v>
      </c>
      <c r="L32" s="68">
        <v>0.2034</v>
      </c>
      <c r="N32" s="211" t="s">
        <v>145</v>
      </c>
      <c r="O32" s="211"/>
      <c r="P32" s="211"/>
      <c r="Q32" s="68">
        <v>0.2034</v>
      </c>
      <c r="R32" s="68">
        <v>0.2212</v>
      </c>
      <c r="S32" s="68">
        <v>0.25</v>
      </c>
    </row>
    <row r="33" spans="2:12" ht="15">
      <c r="B33" t="s">
        <v>105</v>
      </c>
      <c r="C33" s="216" t="s">
        <v>120</v>
      </c>
      <c r="D33" s="216"/>
      <c r="E33" s="216"/>
      <c r="F33" s="216"/>
      <c r="G33" s="216"/>
      <c r="H33" s="216"/>
      <c r="I33" s="216"/>
      <c r="J33" s="216"/>
      <c r="K33" s="70" t="s">
        <v>121</v>
      </c>
      <c r="L33" s="71">
        <v>0.2644</v>
      </c>
    </row>
    <row r="34" spans="2:12" ht="12.75">
      <c r="B34" t="s">
        <v>105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</row>
    <row r="35" spans="2:12" ht="15.75">
      <c r="B35" t="s">
        <v>105</v>
      </c>
      <c r="C35" s="72" t="s">
        <v>146</v>
      </c>
      <c r="D35" s="217" t="s">
        <v>146</v>
      </c>
      <c r="E35" s="217"/>
      <c r="F35" s="217"/>
      <c r="G35" s="217"/>
      <c r="H35" s="217"/>
      <c r="I35" s="217"/>
      <c r="J35" s="217"/>
      <c r="K35" s="217"/>
      <c r="L35" s="217"/>
    </row>
    <row r="36" spans="2:12" ht="12.75">
      <c r="B36" t="s">
        <v>105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spans="2:12" ht="12.75">
      <c r="B37" t="s">
        <v>105</v>
      </c>
      <c r="C37" s="218" t="s">
        <v>122</v>
      </c>
      <c r="D37" s="218"/>
      <c r="E37" s="218"/>
      <c r="F37" s="218"/>
      <c r="G37" s="218"/>
      <c r="H37" s="218"/>
      <c r="I37" s="218"/>
      <c r="J37" s="218"/>
      <c r="K37" s="218"/>
      <c r="L37" s="218"/>
    </row>
    <row r="38" spans="2:12" ht="15.75">
      <c r="B38" t="s">
        <v>105</v>
      </c>
      <c r="C38" s="73"/>
      <c r="D38" s="73"/>
      <c r="E38" s="225" t="s">
        <v>123</v>
      </c>
      <c r="F38" s="148" t="s">
        <v>147</v>
      </c>
      <c r="G38" s="148"/>
      <c r="H38" s="148"/>
      <c r="I38" s="148"/>
      <c r="K38" s="226" t="s">
        <v>124</v>
      </c>
      <c r="L38" s="73"/>
    </row>
    <row r="39" spans="2:12" ht="15.75">
      <c r="B39" t="s">
        <v>105</v>
      </c>
      <c r="C39" s="73"/>
      <c r="D39" s="73"/>
      <c r="E39" s="225"/>
      <c r="G39" s="227" t="s">
        <v>125</v>
      </c>
      <c r="H39" s="227"/>
      <c r="I39" s="227"/>
      <c r="K39" s="226"/>
      <c r="L39" s="73"/>
    </row>
    <row r="40" spans="2:12" ht="12.75">
      <c r="B40" t="s">
        <v>105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 ht="12.75">
      <c r="B41" t="s">
        <v>105</v>
      </c>
      <c r="C41" s="228" t="s">
        <v>148</v>
      </c>
      <c r="D41" s="228"/>
      <c r="E41" s="228"/>
      <c r="F41" s="228"/>
      <c r="G41" s="228"/>
      <c r="H41" s="228"/>
      <c r="I41" s="228"/>
      <c r="J41" s="228"/>
      <c r="K41" s="228"/>
      <c r="L41" s="228"/>
    </row>
    <row r="42" spans="2:12" ht="12.75">
      <c r="B42" t="s">
        <v>105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</row>
    <row r="43" spans="2:12" ht="12.75">
      <c r="B43" t="s">
        <v>105</v>
      </c>
      <c r="C43" s="228" t="s">
        <v>149</v>
      </c>
      <c r="D43" s="228"/>
      <c r="E43" s="228"/>
      <c r="F43" s="228"/>
      <c r="G43" s="228"/>
      <c r="H43" s="228"/>
      <c r="I43" s="228"/>
      <c r="J43" s="228"/>
      <c r="K43" s="228"/>
      <c r="L43" s="228"/>
    </row>
    <row r="44" spans="2:12" ht="12.75">
      <c r="B44" t="s">
        <v>105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</row>
    <row r="45" spans="2:12" ht="12.75">
      <c r="B45" t="s">
        <v>105</v>
      </c>
      <c r="C45" s="62" t="s">
        <v>126</v>
      </c>
      <c r="D45" s="62"/>
      <c r="E45" s="62"/>
      <c r="F45" s="62"/>
      <c r="G45" s="62"/>
      <c r="H45" s="62"/>
      <c r="I45" s="62"/>
      <c r="J45" s="62"/>
      <c r="K45" s="62"/>
      <c r="L45" s="62"/>
    </row>
    <row r="46" spans="2:12" ht="54" customHeight="1">
      <c r="B46" t="s">
        <v>105</v>
      </c>
      <c r="C46" s="231"/>
      <c r="D46" s="231"/>
      <c r="E46" s="231"/>
      <c r="F46" s="231"/>
      <c r="G46" s="231"/>
      <c r="H46" s="231"/>
      <c r="I46" s="231"/>
      <c r="J46" s="231"/>
      <c r="K46" s="231"/>
      <c r="L46" s="231"/>
    </row>
    <row r="47" spans="2:12" ht="13.5" customHeight="1">
      <c r="B47" t="s">
        <v>105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2:15" ht="12.75">
      <c r="B48" t="s">
        <v>105</v>
      </c>
      <c r="C48" s="220" t="s">
        <v>150</v>
      </c>
      <c r="D48" s="220"/>
      <c r="E48" s="220"/>
      <c r="F48" s="220"/>
      <c r="G48" s="62"/>
      <c r="H48" s="62"/>
      <c r="I48" s="221">
        <v>43516</v>
      </c>
      <c r="J48" s="221"/>
      <c r="K48" s="221"/>
      <c r="L48" s="221"/>
      <c r="O48" s="94"/>
    </row>
    <row r="49" spans="2:15" ht="12.75">
      <c r="B49" t="s">
        <v>105</v>
      </c>
      <c r="C49" s="222" t="s">
        <v>127</v>
      </c>
      <c r="D49" s="222"/>
      <c r="E49" s="222"/>
      <c r="F49" s="222"/>
      <c r="G49" s="62"/>
      <c r="H49" s="75"/>
      <c r="I49" s="76" t="s">
        <v>128</v>
      </c>
      <c r="J49" s="77"/>
      <c r="K49" s="77"/>
      <c r="L49" s="77"/>
      <c r="O49" s="94"/>
    </row>
    <row r="50" spans="2:12" ht="12.75">
      <c r="B50" t="s">
        <v>105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</row>
    <row r="51" spans="3:12" ht="12.75">
      <c r="C51" s="62"/>
      <c r="D51" s="62"/>
      <c r="E51" s="62"/>
      <c r="F51" s="62"/>
      <c r="G51" s="62"/>
      <c r="H51" s="62"/>
      <c r="I51" s="62"/>
      <c r="J51" s="62"/>
      <c r="K51" s="62"/>
      <c r="L51" s="62"/>
    </row>
    <row r="52" spans="3:12" ht="12.75">
      <c r="C52" s="62"/>
      <c r="D52" s="62"/>
      <c r="E52" s="62"/>
      <c r="F52" s="62"/>
      <c r="G52" s="62"/>
      <c r="H52" s="62"/>
      <c r="I52" s="62"/>
      <c r="J52" s="62"/>
      <c r="K52" s="62"/>
      <c r="L52" s="62"/>
    </row>
    <row r="53" spans="2:12" ht="15">
      <c r="B53" t="s">
        <v>105</v>
      </c>
      <c r="C53" s="223"/>
      <c r="D53" s="223"/>
      <c r="E53" s="223"/>
      <c r="F53" s="223"/>
      <c r="G53" s="78"/>
      <c r="H53" s="62"/>
      <c r="I53" s="62"/>
      <c r="J53" s="62"/>
      <c r="K53" s="62"/>
      <c r="L53" s="62"/>
    </row>
    <row r="54" spans="2:12" ht="12.75">
      <c r="B54" t="s">
        <v>105</v>
      </c>
      <c r="C54" s="224" t="s">
        <v>129</v>
      </c>
      <c r="D54" s="224"/>
      <c r="E54" s="224"/>
      <c r="F54" s="224"/>
      <c r="G54" s="79"/>
      <c r="H54" s="62"/>
      <c r="I54" s="62"/>
      <c r="J54" s="62"/>
      <c r="K54" s="62"/>
      <c r="L54" s="62"/>
    </row>
    <row r="55" spans="2:12" ht="14.25">
      <c r="B55" t="s">
        <v>105</v>
      </c>
      <c r="C55" s="80" t="s">
        <v>130</v>
      </c>
      <c r="D55" s="81" t="s">
        <v>151</v>
      </c>
      <c r="E55" s="82"/>
      <c r="F55" s="82"/>
      <c r="G55" s="83"/>
      <c r="H55" s="62"/>
      <c r="I55" s="62"/>
      <c r="J55" s="62"/>
      <c r="K55" s="62"/>
      <c r="L55" s="62"/>
    </row>
    <row r="56" spans="2:12" ht="14.25">
      <c r="B56" t="s">
        <v>105</v>
      </c>
      <c r="C56" s="80" t="s">
        <v>131</v>
      </c>
      <c r="D56" s="81" t="s">
        <v>152</v>
      </c>
      <c r="E56" s="82"/>
      <c r="F56" s="82"/>
      <c r="G56" s="83"/>
      <c r="H56" s="62"/>
      <c r="I56" s="62"/>
      <c r="J56" s="62"/>
      <c r="K56" s="62"/>
      <c r="L56" s="62"/>
    </row>
    <row r="57" spans="2:12" ht="14.25">
      <c r="B57" t="s">
        <v>105</v>
      </c>
      <c r="C57" s="80" t="s">
        <v>132</v>
      </c>
      <c r="D57" s="81"/>
      <c r="E57" s="82"/>
      <c r="F57" s="82"/>
      <c r="G57" s="83"/>
      <c r="H57" s="62"/>
      <c r="I57" s="62"/>
      <c r="J57" s="62"/>
      <c r="K57" s="62"/>
      <c r="L57" s="62"/>
    </row>
    <row r="58" spans="2:12" ht="14.25">
      <c r="B58" t="s">
        <v>105</v>
      </c>
      <c r="C58" s="80"/>
      <c r="D58" s="85"/>
      <c r="E58" s="82"/>
      <c r="F58" s="82"/>
      <c r="G58" s="83"/>
      <c r="H58" s="62"/>
      <c r="I58" s="62"/>
      <c r="J58" s="62"/>
      <c r="K58" s="62"/>
      <c r="L58" s="62"/>
    </row>
    <row r="59" spans="3:12" ht="12.75">
      <c r="C59" s="62"/>
      <c r="D59" s="62"/>
      <c r="E59" s="62"/>
      <c r="F59" s="62"/>
      <c r="G59" s="62"/>
      <c r="H59" s="62"/>
      <c r="I59" s="62"/>
      <c r="J59" s="62"/>
      <c r="K59" s="62"/>
      <c r="L59" s="62"/>
    </row>
    <row r="60" spans="3:12" ht="12.75">
      <c r="C60" s="62"/>
      <c r="D60" s="62"/>
      <c r="E60" s="62"/>
      <c r="F60" s="62"/>
      <c r="G60" s="62"/>
      <c r="H60" s="62"/>
      <c r="I60" s="62"/>
      <c r="J60" s="62"/>
      <c r="K60" s="62"/>
      <c r="L60" s="62"/>
    </row>
    <row r="61" spans="3:12" ht="12.75">
      <c r="C61" s="62"/>
      <c r="D61" s="62"/>
      <c r="E61" s="62"/>
      <c r="F61" s="62"/>
      <c r="G61" s="62"/>
      <c r="H61" s="62"/>
      <c r="I61" s="62"/>
      <c r="J61" s="62"/>
      <c r="K61" s="62"/>
      <c r="L61" s="62"/>
    </row>
    <row r="62" spans="3:12" ht="12.75">
      <c r="C62" s="62"/>
      <c r="D62" s="62"/>
      <c r="E62" s="62"/>
      <c r="F62" s="62"/>
      <c r="G62" s="62"/>
      <c r="H62" s="62"/>
      <c r="I62" s="62"/>
      <c r="J62" s="62"/>
      <c r="K62" s="62"/>
      <c r="L62" s="62"/>
    </row>
    <row r="63" spans="3:12" ht="12.75">
      <c r="C63" s="62"/>
      <c r="D63" s="62"/>
      <c r="E63" s="62"/>
      <c r="F63" s="62"/>
      <c r="G63" s="62"/>
      <c r="H63" s="62"/>
      <c r="I63" s="62"/>
      <c r="J63" s="62"/>
      <c r="K63" s="62"/>
      <c r="L63" s="62"/>
    </row>
    <row r="64" spans="3:12" ht="12.75">
      <c r="C64" s="62"/>
      <c r="D64" s="62"/>
      <c r="E64" s="62"/>
      <c r="F64" s="62"/>
      <c r="G64" s="62"/>
      <c r="H64" s="62"/>
      <c r="I64" s="62"/>
      <c r="J64" s="62"/>
      <c r="K64" s="62"/>
      <c r="L64" s="62"/>
    </row>
    <row r="65" spans="3:12" ht="12.75">
      <c r="C65" s="62"/>
      <c r="D65" s="62"/>
      <c r="E65" s="62"/>
      <c r="F65" s="62"/>
      <c r="G65" s="62"/>
      <c r="H65" s="62"/>
      <c r="I65" s="62"/>
      <c r="J65" s="62"/>
      <c r="K65" s="62"/>
      <c r="L65" s="62"/>
    </row>
    <row r="66" spans="3:12" ht="12.75">
      <c r="C66" s="62"/>
      <c r="D66" s="62"/>
      <c r="E66" s="62"/>
      <c r="F66" s="62"/>
      <c r="G66" s="62"/>
      <c r="H66" s="62"/>
      <c r="I66" s="62"/>
      <c r="J66" s="62"/>
      <c r="K66" s="62"/>
      <c r="L66" s="62"/>
    </row>
    <row r="67" spans="3:12" ht="12.75">
      <c r="C67" s="62"/>
      <c r="D67" s="62"/>
      <c r="E67" s="62"/>
      <c r="F67" s="62"/>
      <c r="G67" s="62"/>
      <c r="H67" s="62"/>
      <c r="I67" s="62"/>
      <c r="J67" s="62"/>
      <c r="K67" s="62"/>
      <c r="L67" s="62"/>
    </row>
    <row r="68" spans="3:12" ht="12.75">
      <c r="C68" s="62"/>
      <c r="D68" s="62"/>
      <c r="E68" s="62"/>
      <c r="F68" s="62"/>
      <c r="G68" s="62"/>
      <c r="H68" s="62"/>
      <c r="I68" s="62"/>
      <c r="J68" s="62"/>
      <c r="K68" s="62"/>
      <c r="L68" s="62"/>
    </row>
    <row r="69" spans="3:12" ht="12.75">
      <c r="C69" s="62"/>
      <c r="D69" s="62"/>
      <c r="E69" s="62"/>
      <c r="F69" s="62"/>
      <c r="G69" s="62"/>
      <c r="H69" s="62"/>
      <c r="I69" s="62"/>
      <c r="J69" s="62"/>
      <c r="K69" s="62"/>
      <c r="L69" s="62"/>
    </row>
    <row r="70" spans="3:12" ht="12.75">
      <c r="C70" s="62"/>
      <c r="D70" s="62"/>
      <c r="E70" s="62"/>
      <c r="F70" s="62"/>
      <c r="G70" s="62"/>
      <c r="H70" s="62"/>
      <c r="I70" s="62"/>
      <c r="J70" s="62"/>
      <c r="K70" s="62"/>
      <c r="L70" s="62"/>
    </row>
    <row r="71" spans="3:12" ht="12.75">
      <c r="C71" s="62"/>
      <c r="D71" s="62"/>
      <c r="E71" s="62"/>
      <c r="F71" s="62"/>
      <c r="G71" s="62"/>
      <c r="H71" s="62"/>
      <c r="I71" s="62"/>
      <c r="J71" s="62"/>
      <c r="K71" s="62"/>
      <c r="L71" s="62"/>
    </row>
    <row r="72" spans="3:12" ht="12.75">
      <c r="C72" s="62"/>
      <c r="D72" s="62"/>
      <c r="E72" s="62"/>
      <c r="F72" s="62"/>
      <c r="G72" s="62"/>
      <c r="H72" s="62"/>
      <c r="I72" s="62"/>
      <c r="J72" s="62"/>
      <c r="K72" s="62"/>
      <c r="L72" s="62"/>
    </row>
  </sheetData>
  <sheetProtection/>
  <mergeCells count="57">
    <mergeCell ref="N32:P32"/>
    <mergeCell ref="C8:F8"/>
    <mergeCell ref="N26:P26"/>
    <mergeCell ref="N27:P27"/>
    <mergeCell ref="N28:P28"/>
    <mergeCell ref="N29:P29"/>
    <mergeCell ref="N30:P30"/>
    <mergeCell ref="N31:P31"/>
    <mergeCell ref="N22:P23"/>
    <mergeCell ref="C17:L17"/>
    <mergeCell ref="Q22:Q23"/>
    <mergeCell ref="R22:R23"/>
    <mergeCell ref="S22:S23"/>
    <mergeCell ref="N24:P24"/>
    <mergeCell ref="N25:P25"/>
    <mergeCell ref="C46:L46"/>
    <mergeCell ref="C43:L43"/>
    <mergeCell ref="C30:J30"/>
    <mergeCell ref="C31:J31"/>
    <mergeCell ref="C32:J32"/>
    <mergeCell ref="C48:F48"/>
    <mergeCell ref="I48:L48"/>
    <mergeCell ref="C49:F49"/>
    <mergeCell ref="C53:F53"/>
    <mergeCell ref="C54:F54"/>
    <mergeCell ref="E38:E39"/>
    <mergeCell ref="K38:K39"/>
    <mergeCell ref="G39:I39"/>
    <mergeCell ref="C41:L41"/>
    <mergeCell ref="C33:J33"/>
    <mergeCell ref="D35:L35"/>
    <mergeCell ref="C37:L37"/>
    <mergeCell ref="C24:J24"/>
    <mergeCell ref="C25:J25"/>
    <mergeCell ref="C26:J26"/>
    <mergeCell ref="C27:J27"/>
    <mergeCell ref="C28:J28"/>
    <mergeCell ref="C29:J29"/>
    <mergeCell ref="C20:L20"/>
    <mergeCell ref="C22:J23"/>
    <mergeCell ref="K22:K23"/>
    <mergeCell ref="L22:L23"/>
    <mergeCell ref="B9:B13"/>
    <mergeCell ref="C10:L10"/>
    <mergeCell ref="C11:L11"/>
    <mergeCell ref="C13:J13"/>
    <mergeCell ref="K13:L13"/>
    <mergeCell ref="C14:J14"/>
    <mergeCell ref="K14:L14"/>
    <mergeCell ref="K1:L1"/>
    <mergeCell ref="K2:L2"/>
    <mergeCell ref="G8:L8"/>
    <mergeCell ref="C19:L19"/>
    <mergeCell ref="D1:J1"/>
    <mergeCell ref="D3:D5"/>
    <mergeCell ref="E4:H4"/>
    <mergeCell ref="E3:J3"/>
  </mergeCells>
  <conditionalFormatting sqref="C33:L33">
    <cfRule type="expression" priority="4" dxfId="4" stopIfTrue="1">
      <formula>DESONERACAO="não"</formula>
    </cfRule>
  </conditionalFormatting>
  <conditionalFormatting sqref="N32:P32">
    <cfRule type="expression" priority="2" dxfId="5" stopIfTrue="1">
      <formula>AND(N32&lt;&gt;"OK",N32&lt;&gt;"-",N32&lt;&gt;"")</formula>
    </cfRule>
    <cfRule type="cellIs" priority="3" dxfId="6" operator="equal" stopIfTrue="1">
      <formula>"OK"</formula>
    </cfRule>
  </conditionalFormatting>
  <conditionalFormatting sqref="L32">
    <cfRule type="expression" priority="1" dxfId="0" stopIfTrue="1">
      <formula>DESONERACAO="não"</formula>
    </cfRule>
  </conditionalFormatting>
  <dataValidations count="5">
    <dataValidation type="decimal" allowBlank="1" showInputMessage="1" showErrorMessage="1" promptTitle="Valores admissíveis:" prompt="Insira valores entre 0 e 100%." errorTitle="Valor não permitido" error="Digite um percentual entre 0% e 100%." sqref="K13:L13">
      <formula1>0</formula1>
      <formula2>1</formula2>
    </dataValidation>
    <dataValidation type="decimal" operator="greaterThanOrEqual" allowBlank="1" showInputMessage="1" showErrorMessage="1" promptTitle="Valores comuns:" prompt="Normalmente entre 2 e 5%." errorTitle="Valor não permitido" error="Digite um percentual entre 0% e 100%." sqref="K14:L14">
      <formula1>0</formula1>
    </dataValidation>
    <dataValidation operator="greaterThanOrEqual" allowBlank="1" showErrorMessage="1" errorTitle="Erro de valores" error="Digite um valor igual a 0% ou 2%." sqref="L31">
      <formula1>0</formula1>
    </dataValidation>
    <dataValidation type="decimal" allowBlank="1" showErrorMessage="1" errorTitle="Erro de valores" error="Digite um valor maior do que 0." sqref="L30">
      <formula1>0</formula1>
      <formula2>1</formula2>
    </dataValidation>
    <dataValidation type="decimal" allowBlank="1" showErrorMessage="1" errorTitle="Erro de valores" error="Digite um valor entre 0% e 100%" sqref="L24:L29">
      <formula1>0</formula1>
      <formula2>1</formula2>
    </dataValidation>
  </dataValidations>
  <printOptions/>
  <pageMargins left="0.511811024" right="0.511811024" top="0.787401575" bottom="0.787401575" header="0.31496062" footer="0.31496062"/>
  <pageSetup orientation="portrait" paperSize="9" scale="81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="60" workbookViewId="0" topLeftCell="A1">
      <selection activeCell="K15" sqref="K15"/>
    </sheetView>
  </sheetViews>
  <sheetFormatPr defaultColWidth="9.140625" defaultRowHeight="12.75"/>
  <cols>
    <col min="1" max="1" width="16.00390625" style="0" customWidth="1"/>
    <col min="2" max="2" width="15.421875" style="0" customWidth="1"/>
    <col min="3" max="3" width="35.8515625" style="0" customWidth="1"/>
    <col min="4" max="4" width="19.8515625" style="0" customWidth="1"/>
    <col min="5" max="5" width="24.00390625" style="0" customWidth="1"/>
    <col min="6" max="6" width="23.8515625" style="0" customWidth="1"/>
    <col min="7" max="7" width="23.140625" style="0" customWidth="1"/>
    <col min="8" max="8" width="21.28125" style="0" customWidth="1"/>
    <col min="9" max="9" width="21.140625" style="0" customWidth="1"/>
    <col min="11" max="11" width="13.140625" style="0" bestFit="1" customWidth="1"/>
  </cols>
  <sheetData>
    <row r="1" spans="1:10" ht="62.25" customHeight="1" thickBot="1">
      <c r="A1" s="95"/>
      <c r="B1" s="96"/>
      <c r="C1" s="96"/>
      <c r="D1" s="97"/>
      <c r="E1" s="97"/>
      <c r="F1" s="97"/>
      <c r="G1" s="96"/>
      <c r="H1" s="96"/>
      <c r="I1" s="98"/>
      <c r="J1" s="99"/>
    </row>
    <row r="2" spans="1:10" ht="14.25" thickBot="1">
      <c r="A2" s="150"/>
      <c r="B2" s="151"/>
      <c r="C2" s="151"/>
      <c r="D2" s="113"/>
      <c r="E2" s="113"/>
      <c r="F2" s="113"/>
      <c r="G2" s="151"/>
      <c r="H2" s="151"/>
      <c r="I2" s="152"/>
      <c r="J2" s="99"/>
    </row>
    <row r="3" spans="1:10" ht="16.5" thickBot="1">
      <c r="A3" s="239" t="s">
        <v>175</v>
      </c>
      <c r="B3" s="240"/>
      <c r="C3" s="240"/>
      <c r="D3" s="240"/>
      <c r="E3" s="240"/>
      <c r="F3" s="240"/>
      <c r="G3" s="240"/>
      <c r="H3" s="240"/>
      <c r="I3" s="241"/>
      <c r="J3" s="99"/>
    </row>
    <row r="4" spans="1:10" ht="14.25" thickBot="1">
      <c r="A4" s="115"/>
      <c r="B4" s="111"/>
      <c r="C4" s="111"/>
      <c r="D4" s="113"/>
      <c r="E4" s="113"/>
      <c r="F4" s="111"/>
      <c r="G4" s="111"/>
      <c r="H4" s="111"/>
      <c r="I4" s="114"/>
      <c r="J4" s="99"/>
    </row>
    <row r="5" spans="1:10" ht="18" customHeight="1" thickBot="1">
      <c r="A5" s="242" t="s">
        <v>176</v>
      </c>
      <c r="B5" s="243"/>
      <c r="C5" s="243"/>
      <c r="D5" s="243"/>
      <c r="E5" s="243"/>
      <c r="F5" s="243"/>
      <c r="G5" s="243"/>
      <c r="H5" s="243"/>
      <c r="I5" s="244"/>
      <c r="J5" s="99"/>
    </row>
    <row r="6" spans="1:10" ht="17.25">
      <c r="A6" s="245" t="s">
        <v>199</v>
      </c>
      <c r="B6" s="246"/>
      <c r="C6" s="247"/>
      <c r="D6" s="246" t="s">
        <v>207</v>
      </c>
      <c r="E6" s="246"/>
      <c r="F6" s="246"/>
      <c r="G6" s="248" t="s">
        <v>200</v>
      </c>
      <c r="H6" s="248"/>
      <c r="I6" s="249"/>
      <c r="J6" s="99"/>
    </row>
    <row r="7" spans="1:10" ht="33" customHeight="1" thickBot="1">
      <c r="A7" s="250" t="s">
        <v>201</v>
      </c>
      <c r="B7" s="251"/>
      <c r="C7" s="252"/>
      <c r="D7" s="253" t="s">
        <v>202</v>
      </c>
      <c r="E7" s="253"/>
      <c r="F7" s="253"/>
      <c r="G7" s="254" t="s">
        <v>203</v>
      </c>
      <c r="H7" s="253"/>
      <c r="I7" s="255"/>
      <c r="J7" s="99"/>
    </row>
    <row r="8" spans="1:10" ht="30">
      <c r="A8" s="161" t="s">
        <v>0</v>
      </c>
      <c r="B8" s="162" t="s">
        <v>25</v>
      </c>
      <c r="C8" s="162" t="s">
        <v>177</v>
      </c>
      <c r="D8" s="163" t="s">
        <v>178</v>
      </c>
      <c r="E8" s="163" t="s">
        <v>179</v>
      </c>
      <c r="F8" s="162" t="s">
        <v>180</v>
      </c>
      <c r="G8" s="162" t="s">
        <v>181</v>
      </c>
      <c r="H8" s="162" t="s">
        <v>182</v>
      </c>
      <c r="I8" s="164" t="s">
        <v>183</v>
      </c>
      <c r="J8" s="99"/>
    </row>
    <row r="9" spans="1:10" ht="17.25">
      <c r="A9" s="236">
        <f>'Planilha de quantitativos'!A8</f>
        <v>1</v>
      </c>
      <c r="B9" s="257"/>
      <c r="C9" s="256" t="str">
        <f>'Planilha de quantitativos'!C8</f>
        <v>Serviços preliminares</v>
      </c>
      <c r="D9" s="165" t="s">
        <v>184</v>
      </c>
      <c r="E9" s="166">
        <f>E10/E30</f>
        <v>0.00883233216376923</v>
      </c>
      <c r="F9" s="166">
        <v>1</v>
      </c>
      <c r="G9" s="167"/>
      <c r="H9" s="168"/>
      <c r="I9" s="169"/>
      <c r="J9" s="99"/>
    </row>
    <row r="10" spans="1:10" ht="16.5" customHeight="1">
      <c r="A10" s="236"/>
      <c r="B10" s="258"/>
      <c r="C10" s="256"/>
      <c r="D10" s="170" t="s">
        <v>185</v>
      </c>
      <c r="E10" s="171">
        <f>'Planilha de quantitativos'!I8</f>
        <v>1370</v>
      </c>
      <c r="F10" s="171">
        <f>F9*$E$10</f>
        <v>1370</v>
      </c>
      <c r="G10" s="171">
        <f>G9*$E$10</f>
        <v>0</v>
      </c>
      <c r="H10" s="171">
        <f>H9*$E$10</f>
        <v>0</v>
      </c>
      <c r="I10" s="172">
        <f>I9*$E$10</f>
        <v>0</v>
      </c>
      <c r="J10" s="99"/>
    </row>
    <row r="11" spans="1:10" ht="17.25">
      <c r="A11" s="236">
        <f>'Planilha de quantitativos'!A11</f>
        <v>2</v>
      </c>
      <c r="B11" s="258"/>
      <c r="C11" s="256" t="str">
        <f>'Planilha de quantitativos'!C11</f>
        <v>Locação da obra</v>
      </c>
      <c r="D11" s="170" t="s">
        <v>184</v>
      </c>
      <c r="E11" s="166">
        <f>E12/E30</f>
        <v>0.04767738030707117</v>
      </c>
      <c r="F11" s="166">
        <v>1</v>
      </c>
      <c r="G11" s="167"/>
      <c r="H11" s="168"/>
      <c r="I11" s="169"/>
      <c r="J11" s="99"/>
    </row>
    <row r="12" spans="1:10" ht="18.75" customHeight="1">
      <c r="A12" s="236"/>
      <c r="B12" s="258"/>
      <c r="C12" s="256"/>
      <c r="D12" s="170" t="s">
        <v>185</v>
      </c>
      <c r="E12" s="171">
        <f>'Planilha de quantitativos'!I11</f>
        <v>7395.33</v>
      </c>
      <c r="F12" s="171">
        <f>F11*$E$12</f>
        <v>7395.33</v>
      </c>
      <c r="G12" s="171">
        <f>G11*$E$12</f>
        <v>0</v>
      </c>
      <c r="H12" s="171">
        <f>H11*$E$12</f>
        <v>0</v>
      </c>
      <c r="I12" s="172">
        <f>I11*$E$12</f>
        <v>0</v>
      </c>
      <c r="J12" s="99"/>
    </row>
    <row r="13" spans="1:10" ht="17.25">
      <c r="A13" s="236">
        <f>'Planilha de quantitativos'!A13</f>
        <v>3</v>
      </c>
      <c r="B13" s="258"/>
      <c r="C13" s="256" t="str">
        <f>'Planilha de quantitativos'!C13</f>
        <v>Terraplanagem/ Trabalhos em terra</v>
      </c>
      <c r="D13" s="170" t="s">
        <v>184</v>
      </c>
      <c r="E13" s="166">
        <f>E14/E30</f>
        <v>0.005476626167737463</v>
      </c>
      <c r="F13" s="166">
        <v>1</v>
      </c>
      <c r="G13" s="167"/>
      <c r="H13" s="168"/>
      <c r="I13" s="169"/>
      <c r="J13" s="99"/>
    </row>
    <row r="14" spans="1:10" ht="17.25">
      <c r="A14" s="236"/>
      <c r="B14" s="258"/>
      <c r="C14" s="256"/>
      <c r="D14" s="170" t="s">
        <v>185</v>
      </c>
      <c r="E14" s="171">
        <f>'Planilha de quantitativos'!I13</f>
        <v>849.49</v>
      </c>
      <c r="F14" s="171">
        <f>F13*$E$14</f>
        <v>849.49</v>
      </c>
      <c r="G14" s="171">
        <f>G13*$E$14</f>
        <v>0</v>
      </c>
      <c r="H14" s="171">
        <f>H13*$E$14</f>
        <v>0</v>
      </c>
      <c r="I14" s="172">
        <f>I13*$E$14</f>
        <v>0</v>
      </c>
      <c r="J14" s="99"/>
    </row>
    <row r="15" spans="1:10" ht="17.25">
      <c r="A15" s="236">
        <f>'Planilha de quantitativos'!A16</f>
        <v>4</v>
      </c>
      <c r="B15" s="258"/>
      <c r="C15" s="256" t="str">
        <f>'Planilha de quantitativos'!C16</f>
        <v>Pisos</v>
      </c>
      <c r="D15" s="170" t="s">
        <v>184</v>
      </c>
      <c r="E15" s="166">
        <f>E16/E30</f>
        <v>0.518527009400696</v>
      </c>
      <c r="F15" s="166"/>
      <c r="G15" s="167">
        <v>1</v>
      </c>
      <c r="H15" s="168"/>
      <c r="I15" s="169"/>
      <c r="J15" s="99"/>
    </row>
    <row r="16" spans="1:10" ht="17.25">
      <c r="A16" s="236"/>
      <c r="B16" s="258"/>
      <c r="C16" s="256"/>
      <c r="D16" s="170" t="s">
        <v>185</v>
      </c>
      <c r="E16" s="171">
        <f>'Planilha de quantitativos'!I16</f>
        <v>80429.72</v>
      </c>
      <c r="F16" s="171">
        <f>F15*$E$16</f>
        <v>0</v>
      </c>
      <c r="G16" s="171">
        <f>G15*$E$16</f>
        <v>80429.72</v>
      </c>
      <c r="H16" s="171">
        <f>H15*$E$16</f>
        <v>0</v>
      </c>
      <c r="I16" s="172">
        <f>I15*$E$16</f>
        <v>0</v>
      </c>
      <c r="J16" s="99"/>
    </row>
    <row r="17" spans="1:10" ht="17.25">
      <c r="A17" s="236">
        <f>'Planilha de quantitativos'!A20</f>
        <v>5</v>
      </c>
      <c r="B17" s="258"/>
      <c r="C17" s="256" t="str">
        <f>'Planilha de quantitativos'!C20</f>
        <v>Alvenaria e divisões</v>
      </c>
      <c r="D17" s="170" t="s">
        <v>184</v>
      </c>
      <c r="E17" s="166">
        <f>E18/E30</f>
        <v>0.06871857430428299</v>
      </c>
      <c r="F17" s="166"/>
      <c r="G17" s="167"/>
      <c r="H17" s="168">
        <v>1</v>
      </c>
      <c r="I17" s="169"/>
      <c r="J17" s="99"/>
    </row>
    <row r="18" spans="1:10" ht="17.25">
      <c r="A18" s="236"/>
      <c r="B18" s="258"/>
      <c r="C18" s="256"/>
      <c r="D18" s="170" t="s">
        <v>185</v>
      </c>
      <c r="E18" s="171">
        <f>'Planilha de quantitativos'!I20</f>
        <v>10659.07</v>
      </c>
      <c r="F18" s="171">
        <f>F17*$E$18</f>
        <v>0</v>
      </c>
      <c r="G18" s="171">
        <f>G17*$E$18</f>
        <v>0</v>
      </c>
      <c r="H18" s="171">
        <f>H17*$E$18</f>
        <v>10659.07</v>
      </c>
      <c r="I18" s="172">
        <f>I17*$E$18</f>
        <v>0</v>
      </c>
      <c r="J18" s="99"/>
    </row>
    <row r="19" spans="1:10" ht="17.25">
      <c r="A19" s="236">
        <f>'Planilha de quantitativos'!A24</f>
        <v>6</v>
      </c>
      <c r="B19" s="258"/>
      <c r="C19" s="256" t="str">
        <f>'Planilha de quantitativos'!C24</f>
        <v>Revestimentos</v>
      </c>
      <c r="D19" s="170" t="s">
        <v>184</v>
      </c>
      <c r="E19" s="166">
        <f>E20/E30</f>
        <v>0.04173979665779393</v>
      </c>
      <c r="F19" s="166"/>
      <c r="G19" s="167"/>
      <c r="H19" s="168">
        <v>1</v>
      </c>
      <c r="I19" s="169"/>
      <c r="J19" s="99"/>
    </row>
    <row r="20" spans="1:10" ht="17.25">
      <c r="A20" s="236"/>
      <c r="B20" s="258"/>
      <c r="C20" s="256"/>
      <c r="D20" s="170" t="s">
        <v>185</v>
      </c>
      <c r="E20" s="171">
        <f>'Planilha de quantitativos'!I24</f>
        <v>6474.34</v>
      </c>
      <c r="F20" s="171">
        <f>F19*$E$20</f>
        <v>0</v>
      </c>
      <c r="G20" s="171">
        <f>G19*$E$20</f>
        <v>0</v>
      </c>
      <c r="H20" s="171">
        <f>H19*$E$20</f>
        <v>6474.34</v>
      </c>
      <c r="I20" s="172">
        <f>I19*$E$20</f>
        <v>0</v>
      </c>
      <c r="J20" s="99"/>
    </row>
    <row r="21" spans="1:10" ht="17.25">
      <c r="A21" s="236">
        <f>'Planilha de quantitativos'!A27</f>
        <v>7</v>
      </c>
      <c r="B21" s="258"/>
      <c r="C21" s="256" t="str">
        <f>'Planilha de quantitativos'!C27</f>
        <v>Pintura</v>
      </c>
      <c r="D21" s="170" t="s">
        <v>184</v>
      </c>
      <c r="E21" s="166">
        <f>E22/E30</f>
        <v>0.05526996248902083</v>
      </c>
      <c r="F21" s="166"/>
      <c r="G21" s="167"/>
      <c r="H21" s="168">
        <v>1</v>
      </c>
      <c r="I21" s="169"/>
      <c r="J21" s="99"/>
    </row>
    <row r="22" spans="1:10" ht="17.25">
      <c r="A22" s="236"/>
      <c r="B22" s="258"/>
      <c r="C22" s="256"/>
      <c r="D22" s="170" t="s">
        <v>185</v>
      </c>
      <c r="E22" s="171">
        <f>'Planilha de quantitativos'!I27</f>
        <v>8573.03</v>
      </c>
      <c r="F22" s="171">
        <f>F21*$E$22</f>
        <v>0</v>
      </c>
      <c r="G22" s="171">
        <f>G21*$E$22</f>
        <v>0</v>
      </c>
      <c r="H22" s="171">
        <f>H21*$E$22</f>
        <v>8573.03</v>
      </c>
      <c r="I22" s="172">
        <f>I21*$E$22</f>
        <v>0</v>
      </c>
      <c r="J22" s="99"/>
    </row>
    <row r="23" spans="1:10" ht="17.25">
      <c r="A23" s="236">
        <f>'Planilha de quantitativos'!A31</f>
        <v>8</v>
      </c>
      <c r="B23" s="258"/>
      <c r="C23" s="256" t="str">
        <f>'Planilha de quantitativos'!C31</f>
        <v>Alambrado</v>
      </c>
      <c r="D23" s="170" t="s">
        <v>184</v>
      </c>
      <c r="E23" s="166">
        <f>E24/E30</f>
        <v>0.18728534854058926</v>
      </c>
      <c r="F23" s="166"/>
      <c r="G23" s="167"/>
      <c r="H23" s="168"/>
      <c r="I23" s="169">
        <v>1</v>
      </c>
      <c r="J23" s="99"/>
    </row>
    <row r="24" spans="1:10" ht="17.25">
      <c r="A24" s="236"/>
      <c r="B24" s="258"/>
      <c r="C24" s="256"/>
      <c r="D24" s="170" t="s">
        <v>185</v>
      </c>
      <c r="E24" s="171">
        <f>'Planilha de quantitativos'!I31</f>
        <v>29050.19</v>
      </c>
      <c r="F24" s="171">
        <f>F23*$E$24</f>
        <v>0</v>
      </c>
      <c r="G24" s="171">
        <f>G23*$E$24</f>
        <v>0</v>
      </c>
      <c r="H24" s="171">
        <f>H23*$E$24</f>
        <v>0</v>
      </c>
      <c r="I24" s="172">
        <f>I23*$E$24</f>
        <v>29050.19</v>
      </c>
      <c r="J24" s="99"/>
    </row>
    <row r="25" spans="1:10" ht="17.25">
      <c r="A25" s="236">
        <f>'Planilha de quantitativos'!A34</f>
        <v>9</v>
      </c>
      <c r="B25" s="237"/>
      <c r="C25" s="256" t="str">
        <f>'Planilha de quantitativos'!C34</f>
        <v>Equipamentos esportivos</v>
      </c>
      <c r="D25" s="170" t="s">
        <v>184</v>
      </c>
      <c r="E25" s="166">
        <f>E26/E30</f>
        <v>0.0356720489308623</v>
      </c>
      <c r="F25" s="166"/>
      <c r="G25" s="167"/>
      <c r="H25" s="168"/>
      <c r="I25" s="169">
        <v>1</v>
      </c>
      <c r="J25" s="99"/>
    </row>
    <row r="26" spans="1:10" ht="17.25">
      <c r="A26" s="236"/>
      <c r="B26" s="238"/>
      <c r="C26" s="256"/>
      <c r="D26" s="170" t="s">
        <v>185</v>
      </c>
      <c r="E26" s="171">
        <f>'Planilha de quantitativos'!I34</f>
        <v>5533.16</v>
      </c>
      <c r="F26" s="171">
        <f>F25*$E$26</f>
        <v>0</v>
      </c>
      <c r="G26" s="171">
        <f>G25*$E$26</f>
        <v>0</v>
      </c>
      <c r="H26" s="171">
        <f>H25*$E$26</f>
        <v>0</v>
      </c>
      <c r="I26" s="172">
        <f>I25*$E$26</f>
        <v>5533.16</v>
      </c>
      <c r="J26" s="99"/>
    </row>
    <row r="27" spans="1:10" ht="17.25">
      <c r="A27" s="236">
        <f>'Planilha de quantitativos'!A38</f>
        <v>10</v>
      </c>
      <c r="B27" s="258"/>
      <c r="C27" s="256" t="str">
        <f>'Planilha de quantitativos'!C38</f>
        <v>Limpeza Geral</v>
      </c>
      <c r="D27" s="170" t="s">
        <v>184</v>
      </c>
      <c r="E27" s="166">
        <f>E28/E30</f>
        <v>0.030800921038176818</v>
      </c>
      <c r="F27" s="166"/>
      <c r="G27" s="167"/>
      <c r="H27" s="168"/>
      <c r="I27" s="169">
        <v>1</v>
      </c>
      <c r="J27" s="99"/>
    </row>
    <row r="28" spans="1:10" ht="17.25">
      <c r="A28" s="236"/>
      <c r="B28" s="258"/>
      <c r="C28" s="256"/>
      <c r="D28" s="170" t="s">
        <v>185</v>
      </c>
      <c r="E28" s="171">
        <f>'Planilha de quantitativos'!I38</f>
        <v>4777.59</v>
      </c>
      <c r="F28" s="171">
        <f>F27*$E$28</f>
        <v>0</v>
      </c>
      <c r="G28" s="171">
        <f>G27*$E$28</f>
        <v>0</v>
      </c>
      <c r="H28" s="171">
        <f>H27*$E$28</f>
        <v>0</v>
      </c>
      <c r="I28" s="172">
        <f>I27*$E$28</f>
        <v>4777.59</v>
      </c>
      <c r="J28" s="99"/>
    </row>
    <row r="29" spans="1:11" ht="15">
      <c r="A29" s="259" t="s">
        <v>4</v>
      </c>
      <c r="B29" s="260"/>
      <c r="C29" s="261"/>
      <c r="D29" s="173" t="s">
        <v>184</v>
      </c>
      <c r="E29" s="174">
        <f>E9+E11+E17+E13++E15+E19+E21+E23+E25+E27</f>
        <v>0.9999999999999999</v>
      </c>
      <c r="F29" s="174">
        <f>F30/$E$30</f>
        <v>0.061986338638577866</v>
      </c>
      <c r="G29" s="174">
        <f>G30/$E$30</f>
        <v>0.518527009400696</v>
      </c>
      <c r="H29" s="174">
        <f>H30/$E$30</f>
        <v>0.16572833345109778</v>
      </c>
      <c r="I29" s="175">
        <f>I30/$E$30</f>
        <v>0.2537583185096284</v>
      </c>
      <c r="J29" s="99"/>
      <c r="K29" s="126">
        <f>SUM(F29:I29)</f>
        <v>1</v>
      </c>
    </row>
    <row r="30" spans="1:11" ht="15.75" thickBot="1">
      <c r="A30" s="262"/>
      <c r="B30" s="263"/>
      <c r="C30" s="264"/>
      <c r="D30" s="176" t="s">
        <v>185</v>
      </c>
      <c r="E30" s="177">
        <f>E10+E12+E14+E16+E18+E20+E22+E24+E26+E28</f>
        <v>155111.92</v>
      </c>
      <c r="F30" s="177">
        <f>F10+F12+F14+F16+F18+F20+F22+F24+F28</f>
        <v>9614.82</v>
      </c>
      <c r="G30" s="177">
        <f>G10+G12+G14+G16+G18+G20+G22+G24+G28</f>
        <v>80429.72</v>
      </c>
      <c r="H30" s="177">
        <f>H10+H12+H14+H16+H18+H20+H22+H24+H28</f>
        <v>25706.440000000002</v>
      </c>
      <c r="I30" s="178">
        <f>I10+I12+I14+I16+I18+I20+I22+I24+I26+I28</f>
        <v>39360.94</v>
      </c>
      <c r="J30" s="99"/>
      <c r="K30" s="126">
        <f>SUM(F30:I30)</f>
        <v>155111.92</v>
      </c>
    </row>
    <row r="31" spans="1:10" ht="14.25" thickBot="1">
      <c r="A31" s="153"/>
      <c r="B31" s="101"/>
      <c r="C31" s="101"/>
      <c r="D31" s="102"/>
      <c r="E31" s="102"/>
      <c r="F31" s="101"/>
      <c r="G31" s="101"/>
      <c r="H31" s="101"/>
      <c r="I31" s="154"/>
      <c r="J31" s="99"/>
    </row>
    <row r="32" spans="1:10" ht="13.5">
      <c r="A32" s="103"/>
      <c r="B32" s="104"/>
      <c r="C32" s="104"/>
      <c r="D32" s="104"/>
      <c r="E32" s="104"/>
      <c r="F32" s="104"/>
      <c r="G32" s="105"/>
      <c r="H32" s="105"/>
      <c r="I32" s="106"/>
      <c r="J32" s="99"/>
    </row>
    <row r="33" spans="1:10" ht="13.5">
      <c r="A33" s="107"/>
      <c r="B33" s="109"/>
      <c r="C33" s="109"/>
      <c r="D33" s="109"/>
      <c r="E33" s="109"/>
      <c r="F33" s="109"/>
      <c r="G33" s="111"/>
      <c r="H33" s="111"/>
      <c r="I33" s="114"/>
      <c r="J33" s="99"/>
    </row>
    <row r="34" spans="1:10" ht="13.5">
      <c r="A34" s="107"/>
      <c r="B34" s="109"/>
      <c r="C34" s="109"/>
      <c r="D34" s="109"/>
      <c r="E34" s="109"/>
      <c r="F34" s="109"/>
      <c r="G34" s="111"/>
      <c r="H34" s="111"/>
      <c r="I34" s="114"/>
      <c r="J34" s="99"/>
    </row>
    <row r="35" spans="1:10" ht="14.25">
      <c r="A35" s="107"/>
      <c r="B35" s="123"/>
      <c r="C35" s="108"/>
      <c r="D35" s="109"/>
      <c r="E35" s="110"/>
      <c r="F35" s="108"/>
      <c r="G35" s="111"/>
      <c r="H35" s="111"/>
      <c r="I35" s="112"/>
      <c r="J35" s="99"/>
    </row>
    <row r="36" spans="1:10" ht="13.5">
      <c r="A36" s="155" t="s">
        <v>186</v>
      </c>
      <c r="B36" s="135"/>
      <c r="C36" s="122"/>
      <c r="D36" s="113"/>
      <c r="E36" s="265" t="s">
        <v>187</v>
      </c>
      <c r="F36" s="265"/>
      <c r="G36" s="111"/>
      <c r="H36" s="111"/>
      <c r="I36" s="114"/>
      <c r="J36" s="99"/>
    </row>
    <row r="37" spans="1:10" ht="13.5">
      <c r="A37" s="115"/>
      <c r="B37" s="111"/>
      <c r="C37" s="111"/>
      <c r="D37" s="113"/>
      <c r="E37" s="113"/>
      <c r="F37" s="111"/>
      <c r="G37" s="111"/>
      <c r="H37" s="111"/>
      <c r="I37" s="114"/>
      <c r="J37" s="99"/>
    </row>
    <row r="38" spans="1:10" ht="13.5">
      <c r="A38" s="116"/>
      <c r="B38" s="266"/>
      <c r="C38" s="266"/>
      <c r="D38" s="117"/>
      <c r="E38" s="117"/>
      <c r="F38" s="118"/>
      <c r="G38" s="111"/>
      <c r="H38" s="111"/>
      <c r="I38" s="114"/>
      <c r="J38" s="99"/>
    </row>
    <row r="39" spans="1:10" ht="15" thickBot="1">
      <c r="A39" s="156" t="s">
        <v>188</v>
      </c>
      <c r="B39" s="125"/>
      <c r="C39" s="124"/>
      <c r="D39" s="119"/>
      <c r="E39" s="119"/>
      <c r="F39" s="120"/>
      <c r="G39" s="120"/>
      <c r="H39" s="120"/>
      <c r="I39" s="121"/>
      <c r="J39" s="99"/>
    </row>
    <row r="40" spans="1:10" ht="13.5">
      <c r="A40" s="99"/>
      <c r="B40" s="99"/>
      <c r="C40" s="99"/>
      <c r="D40" s="100"/>
      <c r="E40" s="100"/>
      <c r="F40" s="99"/>
      <c r="G40" s="99"/>
      <c r="H40" s="99"/>
      <c r="I40" s="99"/>
      <c r="J40" s="99"/>
    </row>
    <row r="41" spans="1:10" ht="13.5">
      <c r="A41" s="99"/>
      <c r="B41" s="99"/>
      <c r="C41" s="99"/>
      <c r="D41" s="100"/>
      <c r="E41" s="100"/>
      <c r="F41" s="99"/>
      <c r="G41" s="99"/>
      <c r="H41" s="99"/>
      <c r="I41" s="99"/>
      <c r="J41" s="99"/>
    </row>
    <row r="42" spans="1:10" ht="13.5">
      <c r="A42" s="99"/>
      <c r="B42" s="99"/>
      <c r="C42" s="99"/>
      <c r="D42" s="100"/>
      <c r="E42" s="100"/>
      <c r="F42" s="99"/>
      <c r="G42" s="99"/>
      <c r="H42" s="99"/>
      <c r="I42" s="99"/>
      <c r="J42" s="99"/>
    </row>
    <row r="43" spans="1:10" ht="13.5">
      <c r="A43" s="99"/>
      <c r="B43" s="99"/>
      <c r="C43" s="99"/>
      <c r="D43" s="100"/>
      <c r="E43" s="100"/>
      <c r="F43" s="99"/>
      <c r="G43" s="99"/>
      <c r="H43" s="99"/>
      <c r="I43" s="99"/>
      <c r="J43" s="99"/>
    </row>
    <row r="44" spans="1:10" ht="13.5">
      <c r="A44" s="99"/>
      <c r="B44" s="99"/>
      <c r="C44" s="99"/>
      <c r="D44" s="100"/>
      <c r="E44" s="100"/>
      <c r="F44" s="99"/>
      <c r="G44" s="99"/>
      <c r="H44" s="99"/>
      <c r="I44" s="99"/>
      <c r="J44" s="99"/>
    </row>
  </sheetData>
  <sheetProtection/>
  <mergeCells count="41">
    <mergeCell ref="C23:C24"/>
    <mergeCell ref="B23:B24"/>
    <mergeCell ref="C25:C26"/>
    <mergeCell ref="A29:C30"/>
    <mergeCell ref="E36:F36"/>
    <mergeCell ref="B38:C38"/>
    <mergeCell ref="C27:C28"/>
    <mergeCell ref="B27:B28"/>
    <mergeCell ref="C17:C18"/>
    <mergeCell ref="B17:B18"/>
    <mergeCell ref="C19:C20"/>
    <mergeCell ref="B19:B20"/>
    <mergeCell ref="C21:C22"/>
    <mergeCell ref="B21:B22"/>
    <mergeCell ref="B9:B10"/>
    <mergeCell ref="C11:C12"/>
    <mergeCell ref="B11:B12"/>
    <mergeCell ref="C13:C14"/>
    <mergeCell ref="B13:B14"/>
    <mergeCell ref="C15:C16"/>
    <mergeCell ref="B15:B16"/>
    <mergeCell ref="A19:A20"/>
    <mergeCell ref="A3:I3"/>
    <mergeCell ref="A5:I5"/>
    <mergeCell ref="A6:C6"/>
    <mergeCell ref="D6:F6"/>
    <mergeCell ref="G6:I6"/>
    <mergeCell ref="A7:C7"/>
    <mergeCell ref="D7:F7"/>
    <mergeCell ref="G7:I7"/>
    <mergeCell ref="C9:C10"/>
    <mergeCell ref="A21:A22"/>
    <mergeCell ref="A23:A24"/>
    <mergeCell ref="A25:A26"/>
    <mergeCell ref="A27:A28"/>
    <mergeCell ref="B25:B26"/>
    <mergeCell ref="A9:A10"/>
    <mergeCell ref="A11:A12"/>
    <mergeCell ref="A13:A14"/>
    <mergeCell ref="A15:A16"/>
    <mergeCell ref="A17:A18"/>
  </mergeCells>
  <printOptions/>
  <pageMargins left="0.97" right="0.511811024" top="0.787401575" bottom="0.46" header="0.31496062" footer="0.31496062"/>
  <pageSetup orientation="landscape" paperSize="9" scale="61" r:id="rId4"/>
  <drawing r:id="rId3"/>
  <legacyDrawing r:id="rId2"/>
  <oleObjects>
    <oleObject progId="Word.Picture.8" shapeId="14092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Licitacao</cp:lastModifiedBy>
  <cp:lastPrinted>2019-11-29T19:56:00Z</cp:lastPrinted>
  <dcterms:created xsi:type="dcterms:W3CDTF">2006-09-22T13:55:22Z</dcterms:created>
  <dcterms:modified xsi:type="dcterms:W3CDTF">2020-01-07T19:23:25Z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